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Agency" sheetId="1" r:id="rId1"/>
  </sheets>
  <externalReferences>
    <externalReference r:id="rId2"/>
  </externalReferences>
  <definedNames>
    <definedName name="_xlnm.Print_Area" localSheetId="0">Agency!$A$5:$Y$70</definedName>
  </definedNames>
  <calcPr calcId="145621"/>
</workbook>
</file>

<file path=xl/calcChain.xml><?xml version="1.0" encoding="utf-8"?>
<calcChain xmlns="http://schemas.openxmlformats.org/spreadsheetml/2006/main">
  <c r="R22" i="1" l="1"/>
  <c r="R21" i="1"/>
  <c r="U68" i="1"/>
  <c r="X68" i="1" s="1"/>
  <c r="W67" i="1"/>
  <c r="R67" i="1"/>
  <c r="P67" i="1"/>
  <c r="O67" i="1"/>
  <c r="M67" i="1"/>
  <c r="L67" i="1"/>
  <c r="K67" i="1"/>
  <c r="J67" i="1"/>
  <c r="I67" i="1"/>
  <c r="H67" i="1"/>
  <c r="G67" i="1"/>
  <c r="F67" i="1"/>
  <c r="F69" i="1" s="1"/>
  <c r="X66" i="1"/>
  <c r="Y66" i="1" s="1"/>
  <c r="V66" i="1"/>
  <c r="U66" i="1"/>
  <c r="X65" i="1"/>
  <c r="Y65" i="1" s="1"/>
  <c r="V65" i="1"/>
  <c r="U65" i="1"/>
  <c r="X64" i="1"/>
  <c r="Y64" i="1" s="1"/>
  <c r="V64" i="1"/>
  <c r="U64" i="1"/>
  <c r="V63" i="1"/>
  <c r="U63" i="1"/>
  <c r="X63" i="1" s="1"/>
  <c r="U62" i="1"/>
  <c r="X62" i="1" s="1"/>
  <c r="Y62" i="1" s="1"/>
  <c r="D61" i="1"/>
  <c r="U61" i="1" s="1"/>
  <c r="X61" i="1" s="1"/>
  <c r="Y61" i="1" s="1"/>
  <c r="U60" i="1"/>
  <c r="T60" i="1"/>
  <c r="V60" i="1" s="1"/>
  <c r="V59" i="1"/>
  <c r="U59" i="1"/>
  <c r="X59" i="1" s="1"/>
  <c r="Y59" i="1" s="1"/>
  <c r="U58" i="1"/>
  <c r="X58" i="1" s="1"/>
  <c r="Y58" i="1" s="1"/>
  <c r="V57" i="1"/>
  <c r="U57" i="1"/>
  <c r="X57" i="1" s="1"/>
  <c r="Y57" i="1" s="1"/>
  <c r="T56" i="1"/>
  <c r="U56" i="1" s="1"/>
  <c r="X56" i="1" s="1"/>
  <c r="Y56" i="1" s="1"/>
  <c r="U55" i="1"/>
  <c r="X55" i="1" s="1"/>
  <c r="Y55" i="1" s="1"/>
  <c r="Y54" i="1"/>
  <c r="X54" i="1"/>
  <c r="U54" i="1"/>
  <c r="X53" i="1"/>
  <c r="Y53" i="1" s="1"/>
  <c r="U53" i="1"/>
  <c r="N53" i="1"/>
  <c r="X52" i="1"/>
  <c r="Y52" i="1" s="1"/>
  <c r="U52" i="1"/>
  <c r="U51" i="1"/>
  <c r="X51" i="1" s="1"/>
  <c r="T50" i="1"/>
  <c r="U50" i="1" s="1"/>
  <c r="X50" i="1" s="1"/>
  <c r="Y50" i="1" s="1"/>
  <c r="Q49" i="1"/>
  <c r="N49" i="1"/>
  <c r="U49" i="1" s="1"/>
  <c r="X49" i="1" s="1"/>
  <c r="Y49" i="1" s="1"/>
  <c r="X48" i="1"/>
  <c r="U48" i="1"/>
  <c r="X47" i="1"/>
  <c r="Y47" i="1" s="1"/>
  <c r="U47" i="1"/>
  <c r="U46" i="1"/>
  <c r="X46" i="1" s="1"/>
  <c r="Y46" i="1" s="1"/>
  <c r="T45" i="1"/>
  <c r="U45" i="1" s="1"/>
  <c r="X45" i="1" s="1"/>
  <c r="Y45" i="1" s="1"/>
  <c r="U44" i="1"/>
  <c r="X44" i="1" s="1"/>
  <c r="Y44" i="1" s="1"/>
  <c r="Y43" i="1"/>
  <c r="X43" i="1"/>
  <c r="U43" i="1"/>
  <c r="X42" i="1"/>
  <c r="Y42" i="1" s="1"/>
  <c r="U42" i="1"/>
  <c r="U41" i="1"/>
  <c r="X41" i="1" s="1"/>
  <c r="Y41" i="1" s="1"/>
  <c r="T41" i="1"/>
  <c r="U40" i="1"/>
  <c r="X40" i="1" s="1"/>
  <c r="Y40" i="1" s="1"/>
  <c r="U39" i="1"/>
  <c r="X39" i="1" s="1"/>
  <c r="Y39" i="1" s="1"/>
  <c r="N38" i="1"/>
  <c r="U38" i="1" s="1"/>
  <c r="X38" i="1" s="1"/>
  <c r="Y38" i="1" s="1"/>
  <c r="Y37" i="1"/>
  <c r="X37" i="1"/>
  <c r="U37" i="1"/>
  <c r="X36" i="1"/>
  <c r="Y36" i="1" s="1"/>
  <c r="U36" i="1"/>
  <c r="V35" i="1"/>
  <c r="U35" i="1"/>
  <c r="X35" i="1" s="1"/>
  <c r="Y35" i="1" s="1"/>
  <c r="U34" i="1"/>
  <c r="X34" i="1" s="1"/>
  <c r="Y34" i="1" s="1"/>
  <c r="N34" i="1"/>
  <c r="U33" i="1"/>
  <c r="X33" i="1" s="1"/>
  <c r="Y33" i="1" s="1"/>
  <c r="S33" i="1"/>
  <c r="S67" i="1" s="1"/>
  <c r="U32" i="1"/>
  <c r="X32" i="1" s="1"/>
  <c r="Y32" i="1" s="1"/>
  <c r="T32" i="1"/>
  <c r="U31" i="1"/>
  <c r="X31" i="1" s="1"/>
  <c r="Y31" i="1" s="1"/>
  <c r="U30" i="1"/>
  <c r="X30" i="1" s="1"/>
  <c r="Y30" i="1" s="1"/>
  <c r="Y29" i="1"/>
  <c r="X29" i="1"/>
  <c r="U29" i="1"/>
  <c r="X28" i="1"/>
  <c r="Y28" i="1" s="1"/>
  <c r="U28" i="1"/>
  <c r="U27" i="1"/>
  <c r="X27" i="1" s="1"/>
  <c r="Y27" i="1" s="1"/>
  <c r="T27" i="1"/>
  <c r="U26" i="1"/>
  <c r="X26" i="1" s="1"/>
  <c r="Y26" i="1" s="1"/>
  <c r="T25" i="1"/>
  <c r="T67" i="1" s="1"/>
  <c r="Q24" i="1"/>
  <c r="Q67" i="1" s="1"/>
  <c r="F24" i="1"/>
  <c r="D24" i="1"/>
  <c r="Y23" i="1"/>
  <c r="X23" i="1"/>
  <c r="U23" i="1"/>
  <c r="U22" i="1"/>
  <c r="X22" i="1" s="1"/>
  <c r="Y22" i="1" s="1"/>
  <c r="E22" i="1"/>
  <c r="D22" i="1"/>
  <c r="D21" i="1"/>
  <c r="D67" i="1" s="1"/>
  <c r="W19" i="1"/>
  <c r="W69" i="1" s="1"/>
  <c r="T19" i="1"/>
  <c r="S19" i="1"/>
  <c r="Q19" i="1"/>
  <c r="Q69" i="1" s="1"/>
  <c r="P19" i="1"/>
  <c r="P69" i="1" s="1"/>
  <c r="O19" i="1"/>
  <c r="O69" i="1" s="1"/>
  <c r="N19" i="1"/>
  <c r="M19" i="1"/>
  <c r="M69" i="1" s="1"/>
  <c r="L19" i="1"/>
  <c r="L69" i="1" s="1"/>
  <c r="K19" i="1"/>
  <c r="K69" i="1" s="1"/>
  <c r="I19" i="1"/>
  <c r="I69" i="1" s="1"/>
  <c r="H19" i="1"/>
  <c r="H69" i="1" s="1"/>
  <c r="G19" i="1"/>
  <c r="G69" i="1" s="1"/>
  <c r="F19" i="1"/>
  <c r="E19" i="1"/>
  <c r="V18" i="1"/>
  <c r="U18" i="1"/>
  <c r="X18" i="1" s="1"/>
  <c r="D17" i="1"/>
  <c r="D19" i="1" s="1"/>
  <c r="V14" i="1"/>
  <c r="U14" i="1"/>
  <c r="X14" i="1" s="1"/>
  <c r="Y14" i="1" s="1"/>
  <c r="X13" i="1"/>
  <c r="V13" i="1"/>
  <c r="V19" i="1" s="1"/>
  <c r="U13" i="1"/>
  <c r="Y12" i="1"/>
  <c r="X12" i="1"/>
  <c r="U12" i="1"/>
  <c r="X11" i="1"/>
  <c r="Y11" i="1" s="1"/>
  <c r="U11" i="1"/>
  <c r="J11" i="1"/>
  <c r="J19" i="1" s="1"/>
  <c r="J69" i="1" s="1"/>
  <c r="X10" i="1"/>
  <c r="Y10" i="1" s="1"/>
  <c r="U10" i="1"/>
  <c r="U9" i="1"/>
  <c r="X9" i="1" s="1"/>
  <c r="Y9" i="1" s="1"/>
  <c r="U8" i="1"/>
  <c r="X8" i="1" s="1"/>
  <c r="Y8" i="1" s="1"/>
  <c r="X60" i="1" l="1"/>
  <c r="Y60" i="1" s="1"/>
  <c r="S69" i="1"/>
  <c r="V67" i="1"/>
  <c r="V69" i="1" s="1"/>
  <c r="D69" i="1"/>
  <c r="T69" i="1"/>
  <c r="U17" i="1"/>
  <c r="X17" i="1" s="1"/>
  <c r="Y17" i="1" s="1"/>
  <c r="U25" i="1"/>
  <c r="X25" i="1" s="1"/>
  <c r="Y25" i="1" s="1"/>
  <c r="N67" i="1"/>
  <c r="N69" i="1" s="1"/>
  <c r="U21" i="1"/>
  <c r="X21" i="1" s="1"/>
  <c r="Y21" i="1" s="1"/>
  <c r="E24" i="1"/>
  <c r="U24" i="1" s="1"/>
  <c r="X24" i="1" l="1"/>
  <c r="Y24" i="1" s="1"/>
  <c r="R16" i="1"/>
  <c r="E67" i="1"/>
  <c r="U67" i="1" l="1"/>
  <c r="X67" i="1" s="1"/>
  <c r="Y67" i="1" s="1"/>
  <c r="E69" i="1"/>
  <c r="R19" i="1"/>
  <c r="U16" i="1"/>
  <c r="X16" i="1" s="1"/>
  <c r="Y16" i="1" s="1"/>
  <c r="R69" i="1" l="1"/>
  <c r="U19" i="1"/>
  <c r="X19" i="1" s="1"/>
  <c r="Y19" i="1" s="1"/>
  <c r="U69" i="1"/>
  <c r="X69" i="1" s="1"/>
  <c r="Y69" i="1" s="1"/>
</calcChain>
</file>

<file path=xl/sharedStrings.xml><?xml version="1.0" encoding="utf-8"?>
<sst xmlns="http://schemas.openxmlformats.org/spreadsheetml/2006/main" count="87" uniqueCount="87">
  <si>
    <t>CAPITAL AREA COMMUNITY ACTION AGENCY INC.</t>
  </si>
  <si>
    <t>PROPOSED BUDGET FOR 10/01/17 - 09/30/18</t>
  </si>
  <si>
    <t>GL Code</t>
  </si>
  <si>
    <t>BUDGET LINE</t>
  </si>
  <si>
    <t>Head Start</t>
  </si>
  <si>
    <t>VPK</t>
  </si>
  <si>
    <t>CCFP</t>
  </si>
  <si>
    <t>School Readiness</t>
  </si>
  <si>
    <t>HS-CHSP</t>
  </si>
  <si>
    <t>FSS-CHSP</t>
  </si>
  <si>
    <t>United Way - NC</t>
  </si>
  <si>
    <t>FEMA</t>
  </si>
  <si>
    <t>CSBG*</t>
  </si>
  <si>
    <t>LIHEAP*</t>
  </si>
  <si>
    <t>WAP-WX</t>
  </si>
  <si>
    <t>TAP</t>
  </si>
  <si>
    <t>Project Help</t>
  </si>
  <si>
    <t>Project Share</t>
  </si>
  <si>
    <t>Indirect Cost Pool</t>
  </si>
  <si>
    <t>General Fund</t>
  </si>
  <si>
    <t>Fund Raising</t>
  </si>
  <si>
    <t>Total      2017-18</t>
  </si>
  <si>
    <t>Total      2016-17</t>
  </si>
  <si>
    <t>Total      2013-14</t>
  </si>
  <si>
    <t>Change In Dollars</t>
  </si>
  <si>
    <t>Percentage Change</t>
  </si>
  <si>
    <t xml:space="preserve">Government-Federal </t>
  </si>
  <si>
    <t>Government-State</t>
  </si>
  <si>
    <t xml:space="preserve">Government-Local </t>
  </si>
  <si>
    <t>Grants -Non profit</t>
  </si>
  <si>
    <t>Contributions</t>
  </si>
  <si>
    <t>Special events</t>
  </si>
  <si>
    <t>Commissions</t>
  </si>
  <si>
    <t>Fringe Pool Revenue</t>
  </si>
  <si>
    <t>Indirect Pool Revenue</t>
  </si>
  <si>
    <t>In-kind Contributions</t>
  </si>
  <si>
    <t>Other Revenue</t>
  </si>
  <si>
    <t>TOTAL REVENUE</t>
  </si>
  <si>
    <t>Salary And Wages</t>
  </si>
  <si>
    <t>Fringe</t>
  </si>
  <si>
    <t>Staff Screening</t>
  </si>
  <si>
    <t>Indirect Costs</t>
  </si>
  <si>
    <t>Local travel</t>
  </si>
  <si>
    <t>Travel out of town</t>
  </si>
  <si>
    <t>Office Supplies</t>
  </si>
  <si>
    <t>Program Supplies</t>
  </si>
  <si>
    <t>Classroom Supplies</t>
  </si>
  <si>
    <t>Kitchen Supplies</t>
  </si>
  <si>
    <t>Medical/DentalSupplies</t>
  </si>
  <si>
    <t>Copies/Copier supplies</t>
  </si>
  <si>
    <t>Postage &amp; Shipping</t>
  </si>
  <si>
    <t>Contractual services</t>
  </si>
  <si>
    <t>Contractual Services – Health/Disabilities</t>
  </si>
  <si>
    <t>Rent/Space cost</t>
  </si>
  <si>
    <t>Utilities</t>
  </si>
  <si>
    <t>Liability Insurance</t>
  </si>
  <si>
    <t>Communications</t>
  </si>
  <si>
    <t>Building Repair &amp; Maint</t>
  </si>
  <si>
    <t>Equipment Maintanence</t>
  </si>
  <si>
    <t>Vehicle Expense</t>
  </si>
  <si>
    <t>Equipment Lease</t>
  </si>
  <si>
    <t>Technology</t>
  </si>
  <si>
    <t>Licenses/fees/permits</t>
  </si>
  <si>
    <t>Dues/Subcription</t>
  </si>
  <si>
    <t>Volunteers</t>
  </si>
  <si>
    <t>Special Event Expenses</t>
  </si>
  <si>
    <t>Client Assistance</t>
  </si>
  <si>
    <t>Expendable Equipment</t>
  </si>
  <si>
    <t>Equipment</t>
  </si>
  <si>
    <t>Registration Fees</t>
  </si>
  <si>
    <t>Training/Workshops/Meetings</t>
  </si>
  <si>
    <t>Staff Development</t>
  </si>
  <si>
    <t>Advisory/ Board Member</t>
  </si>
  <si>
    <t>Advertising</t>
  </si>
  <si>
    <t>Parent Activities</t>
  </si>
  <si>
    <t>Raw food</t>
  </si>
  <si>
    <t>Interest Expense</t>
  </si>
  <si>
    <t>Bank Service Charge</t>
  </si>
  <si>
    <t>In-kind Services</t>
  </si>
  <si>
    <t>In-kind Space</t>
  </si>
  <si>
    <t>In-Kind Travel</t>
  </si>
  <si>
    <t>In-Kind Other</t>
  </si>
  <si>
    <t>In-Kind Material</t>
  </si>
  <si>
    <t>TOTAL EXPENSES</t>
  </si>
  <si>
    <t xml:space="preserve"> </t>
  </si>
  <si>
    <t>NET INCOME</t>
  </si>
  <si>
    <t>* = CSBG and LIHEAP are 18 month grants and so were prorated for the annual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</si>
</sst>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sz val="8"/>
      <name val="Times New Roman"/>
      <family val="1"/>
    </font>
    <font>
      <b/>
      <sz val="10"/>
      <name val="Comic Sans MS"/>
      <family val="4"/>
    </font>
    <font>
      <u/>
      <sz val="10"/>
      <name val="Comic Sans MS"/>
      <family val="4"/>
    </font>
    <font>
      <b/>
      <i/>
      <sz val="10"/>
      <name val="Comic Sans MS"/>
      <family val="4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4" applyNumberFormat="0" applyAlignment="0" applyProtection="0"/>
    <xf numFmtId="0" fontId="12" fillId="7" borderId="7" applyNumberFormat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19" fillId="6" borderId="5" applyNumberFormat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10" xfId="0" applyFont="1" applyBorder="1"/>
    <xf numFmtId="0" fontId="3" fillId="0" borderId="10" xfId="0" applyFont="1" applyFill="1" applyBorder="1"/>
    <xf numFmtId="0" fontId="3" fillId="0" borderId="10" xfId="3" applyFont="1" applyBorder="1" applyAlignment="1">
      <alignment horizontal="left" vertical="top" wrapText="1"/>
    </xf>
    <xf numFmtId="40" fontId="3" fillId="0" borderId="10" xfId="3" applyNumberFormat="1" applyFont="1" applyBorder="1" applyAlignment="1">
      <alignment horizontal="right" vertical="top" wrapText="1"/>
    </xf>
    <xf numFmtId="1" fontId="3" fillId="0" borderId="10" xfId="3" applyNumberFormat="1" applyFont="1" applyBorder="1" applyAlignment="1">
      <alignment horizontal="right" vertical="top" wrapText="1"/>
    </xf>
    <xf numFmtId="164" fontId="3" fillId="0" borderId="10" xfId="2" applyNumberFormat="1" applyFont="1" applyBorder="1"/>
    <xf numFmtId="0" fontId="3" fillId="0" borderId="11" xfId="0" applyFont="1" applyBorder="1"/>
    <xf numFmtId="0" fontId="3" fillId="0" borderId="11" xfId="0" applyFont="1" applyFill="1" applyBorder="1"/>
    <xf numFmtId="0" fontId="3" fillId="0" borderId="11" xfId="3" applyFont="1" applyBorder="1" applyAlignment="1">
      <alignment horizontal="left" vertical="top" wrapText="1"/>
    </xf>
    <xf numFmtId="40" fontId="3" fillId="0" borderId="11" xfId="3" applyNumberFormat="1" applyFont="1" applyBorder="1" applyAlignment="1">
      <alignment horizontal="right" vertical="top" wrapText="1"/>
    </xf>
    <xf numFmtId="164" fontId="3" fillId="0" borderId="11" xfId="2" applyNumberFormat="1" applyFont="1" applyBorder="1"/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33" borderId="13" xfId="0" applyFont="1" applyFill="1" applyBorder="1"/>
    <xf numFmtId="164" fontId="3" fillId="33" borderId="14" xfId="2" applyNumberFormat="1" applyFont="1" applyFill="1" applyBorder="1"/>
    <xf numFmtId="0" fontId="3" fillId="0" borderId="15" xfId="0" applyFont="1" applyBorder="1"/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/>
    <xf numFmtId="164" fontId="3" fillId="33" borderId="18" xfId="2" applyNumberFormat="1" applyFont="1" applyFill="1" applyBorder="1"/>
    <xf numFmtId="0" fontId="5" fillId="0" borderId="19" xfId="0" applyFont="1" applyBorder="1" applyAlignment="1">
      <alignment horizontal="center" vertical="top" wrapText="1"/>
    </xf>
    <xf numFmtId="0" fontId="5" fillId="34" borderId="20" xfId="0" applyFont="1" applyFill="1" applyBorder="1"/>
    <xf numFmtId="0" fontId="5" fillId="0" borderId="11" xfId="0" applyFont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5" fillId="35" borderId="22" xfId="0" applyFont="1" applyFill="1" applyBorder="1" applyAlignment="1">
      <alignment horizontal="center" vertical="top" wrapText="1"/>
    </xf>
    <xf numFmtId="0" fontId="5" fillId="35" borderId="22" xfId="0" applyFont="1" applyFill="1" applyBorder="1" applyAlignment="1">
      <alignment horizontal="center" vertical="top" wrapText="1"/>
    </xf>
    <xf numFmtId="1" fontId="5" fillId="35" borderId="11" xfId="0" applyNumberFormat="1" applyFont="1" applyFill="1" applyBorder="1" applyAlignment="1">
      <alignment horizontal="center" vertical="top" wrapText="1"/>
    </xf>
    <xf numFmtId="1" fontId="5" fillId="36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164" fontId="5" fillId="0" borderId="11" xfId="2" applyNumberFormat="1" applyFont="1" applyBorder="1" applyAlignment="1">
      <alignment horizontal="center" vertical="top" wrapText="1"/>
    </xf>
    <xf numFmtId="0" fontId="5" fillId="0" borderId="23" xfId="0" applyFont="1" applyBorder="1"/>
    <xf numFmtId="0" fontId="5" fillId="0" borderId="20" xfId="0" applyFont="1" applyBorder="1"/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/>
    <xf numFmtId="0" fontId="5" fillId="0" borderId="26" xfId="0" applyFont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vertical="top" wrapText="1"/>
    </xf>
    <xf numFmtId="0" fontId="5" fillId="35" borderId="28" xfId="0" applyFont="1" applyFill="1" applyBorder="1" applyAlignment="1">
      <alignment horizontal="center" vertical="top" wrapText="1"/>
    </xf>
    <xf numFmtId="0" fontId="5" fillId="35" borderId="28" xfId="0" applyFont="1" applyFill="1" applyBorder="1" applyAlignment="1">
      <alignment horizontal="center" vertical="top" wrapText="1"/>
    </xf>
    <xf numFmtId="1" fontId="5" fillId="35" borderId="26" xfId="0" applyNumberFormat="1" applyFont="1" applyFill="1" applyBorder="1" applyAlignment="1">
      <alignment horizontal="center" vertical="top" wrapText="1"/>
    </xf>
    <xf numFmtId="1" fontId="5" fillId="36" borderId="26" xfId="0" applyNumberFormat="1" applyFont="1" applyFill="1" applyBorder="1" applyAlignment="1">
      <alignment horizontal="center" vertical="top" wrapText="1"/>
    </xf>
    <xf numFmtId="1" fontId="5" fillId="0" borderId="26" xfId="0" applyNumberFormat="1" applyFont="1" applyFill="1" applyBorder="1" applyAlignment="1">
      <alignment horizontal="center" vertical="top" wrapText="1"/>
    </xf>
    <xf numFmtId="1" fontId="5" fillId="0" borderId="26" xfId="0" applyNumberFormat="1" applyFont="1" applyBorder="1" applyAlignment="1">
      <alignment horizontal="center" vertical="top" wrapText="1"/>
    </xf>
    <xf numFmtId="164" fontId="5" fillId="0" borderId="26" xfId="2" applyNumberFormat="1" applyFont="1" applyBorder="1" applyAlignment="1">
      <alignment horizontal="center" vertical="top" wrapText="1"/>
    </xf>
    <xf numFmtId="0" fontId="5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20" xfId="0" applyFont="1" applyBorder="1"/>
    <xf numFmtId="0" fontId="3" fillId="35" borderId="20" xfId="0" applyFont="1" applyFill="1" applyBorder="1"/>
    <xf numFmtId="1" fontId="3" fillId="35" borderId="20" xfId="0" applyNumberFormat="1" applyFont="1" applyFill="1" applyBorder="1"/>
    <xf numFmtId="0" fontId="3" fillId="36" borderId="20" xfId="0" applyFont="1" applyFill="1" applyBorder="1"/>
    <xf numFmtId="1" fontId="3" fillId="36" borderId="20" xfId="0" applyNumberFormat="1" applyFont="1" applyFill="1" applyBorder="1"/>
    <xf numFmtId="1" fontId="3" fillId="0" borderId="20" xfId="0" applyNumberFormat="1" applyFont="1" applyBorder="1"/>
    <xf numFmtId="164" fontId="3" fillId="0" borderId="31" xfId="2" applyNumberFormat="1" applyFont="1" applyBorder="1"/>
    <xf numFmtId="0" fontId="3" fillId="0" borderId="23" xfId="0" applyFont="1" applyBorder="1"/>
    <xf numFmtId="0" fontId="3" fillId="0" borderId="32" xfId="0" applyFont="1" applyBorder="1" applyAlignment="1">
      <alignment horizontal="center"/>
    </xf>
    <xf numFmtId="3" fontId="3" fillId="35" borderId="10" xfId="0" applyNumberFormat="1" applyFont="1" applyFill="1" applyBorder="1"/>
    <xf numFmtId="3" fontId="3" fillId="36" borderId="10" xfId="0" applyNumberFormat="1" applyFont="1" applyFill="1" applyBorder="1"/>
    <xf numFmtId="3" fontId="3" fillId="0" borderId="10" xfId="0" applyNumberFormat="1" applyFont="1" applyBorder="1"/>
    <xf numFmtId="164" fontId="3" fillId="0" borderId="33" xfId="2" applyNumberFormat="1" applyFont="1" applyBorder="1"/>
    <xf numFmtId="3" fontId="6" fillId="36" borderId="10" xfId="0" applyNumberFormat="1" applyFont="1" applyFill="1" applyBorder="1"/>
    <xf numFmtId="0" fontId="5" fillId="0" borderId="32" xfId="0" applyFont="1" applyBorder="1" applyAlignment="1">
      <alignment horizontal="center"/>
    </xf>
    <xf numFmtId="0" fontId="5" fillId="0" borderId="10" xfId="0" applyFont="1" applyBorder="1"/>
    <xf numFmtId="3" fontId="5" fillId="35" borderId="10" xfId="0" applyNumberFormat="1" applyFont="1" applyFill="1" applyBorder="1"/>
    <xf numFmtId="3" fontId="5" fillId="36" borderId="10" xfId="0" applyNumberFormat="1" applyFont="1" applyFill="1" applyBorder="1"/>
    <xf numFmtId="3" fontId="5" fillId="0" borderId="10" xfId="0" applyNumberFormat="1" applyFont="1" applyBorder="1"/>
    <xf numFmtId="0" fontId="5" fillId="0" borderId="15" xfId="0" applyFont="1" applyBorder="1"/>
    <xf numFmtId="0" fontId="3" fillId="33" borderId="32" xfId="0" applyFont="1" applyFill="1" applyBorder="1" applyAlignment="1">
      <alignment horizontal="center"/>
    </xf>
    <xf numFmtId="0" fontId="3" fillId="33" borderId="10" xfId="0" applyFont="1" applyFill="1" applyBorder="1"/>
    <xf numFmtId="3" fontId="3" fillId="33" borderId="10" xfId="0" applyNumberFormat="1" applyFont="1" applyFill="1" applyBorder="1"/>
    <xf numFmtId="164" fontId="3" fillId="33" borderId="33" xfId="2" applyNumberFormat="1" applyFont="1" applyFill="1" applyBorder="1"/>
    <xf numFmtId="0" fontId="3" fillId="33" borderId="15" xfId="0" applyFont="1" applyFill="1" applyBorder="1"/>
    <xf numFmtId="165" fontId="3" fillId="35" borderId="10" xfId="1" applyNumberFormat="1" applyFont="1" applyFill="1" applyBorder="1"/>
    <xf numFmtId="165" fontId="3" fillId="35" borderId="0" xfId="1" applyNumberFormat="1" applyFont="1" applyFill="1"/>
    <xf numFmtId="0" fontId="3" fillId="0" borderId="32" xfId="0" applyFont="1" applyFill="1" applyBorder="1" applyAlignment="1">
      <alignment horizontal="center"/>
    </xf>
    <xf numFmtId="0" fontId="3" fillId="37" borderId="15" xfId="0" applyFont="1" applyFill="1" applyBorder="1"/>
    <xf numFmtId="0" fontId="3" fillId="34" borderId="10" xfId="0" applyFont="1" applyFill="1" applyBorder="1"/>
    <xf numFmtId="3" fontId="3" fillId="38" borderId="10" xfId="0" applyNumberFormat="1" applyFont="1" applyFill="1" applyBorder="1"/>
    <xf numFmtId="0" fontId="5" fillId="0" borderId="32" xfId="0" applyFont="1" applyFill="1" applyBorder="1" applyAlignment="1">
      <alignment horizontal="center"/>
    </xf>
    <xf numFmtId="0" fontId="5" fillId="0" borderId="10" xfId="0" applyFont="1" applyFill="1" applyBorder="1"/>
    <xf numFmtId="3" fontId="5" fillId="0" borderId="10" xfId="0" applyNumberFormat="1" applyFont="1" applyFill="1" applyBorder="1"/>
    <xf numFmtId="0" fontId="5" fillId="0" borderId="15" xfId="0" applyFont="1" applyFill="1" applyBorder="1"/>
    <xf numFmtId="0" fontId="5" fillId="0" borderId="34" xfId="0" applyFont="1" applyBorder="1" applyAlignment="1">
      <alignment horizontal="center"/>
    </xf>
    <xf numFmtId="3" fontId="5" fillId="35" borderId="25" xfId="0" applyNumberFormat="1" applyFont="1" applyFill="1" applyBorder="1"/>
    <xf numFmtId="3" fontId="5" fillId="36" borderId="25" xfId="0" applyNumberFormat="1" applyFont="1" applyFill="1" applyBorder="1"/>
    <xf numFmtId="3" fontId="5" fillId="0" borderId="25" xfId="0" applyNumberFormat="1" applyFont="1" applyBorder="1"/>
    <xf numFmtId="3" fontId="3" fillId="0" borderId="25" xfId="0" applyNumberFormat="1" applyFont="1" applyBorder="1"/>
    <xf numFmtId="164" fontId="5" fillId="0" borderId="35" xfId="2" applyNumberFormat="1" applyFont="1" applyBorder="1"/>
    <xf numFmtId="0" fontId="7" fillId="0" borderId="20" xfId="0" applyFont="1" applyBorder="1"/>
    <xf numFmtId="3" fontId="3" fillId="0" borderId="20" xfId="0" applyNumberFormat="1" applyFont="1" applyFill="1" applyBorder="1"/>
    <xf numFmtId="3" fontId="3" fillId="0" borderId="20" xfId="0" applyNumberFormat="1" applyFont="1" applyBorder="1"/>
    <xf numFmtId="164" fontId="3" fillId="0" borderId="20" xfId="2" applyNumberFormat="1" applyFont="1" applyBorder="1"/>
  </cellXfs>
  <cellStyles count="6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[0] 2" xfId="31"/>
    <cellStyle name="Comma 2" xfId="32"/>
    <cellStyle name="Comma 3" xfId="33"/>
    <cellStyle name="Comma 4" xfId="34"/>
    <cellStyle name="Comma 5" xfId="35"/>
    <cellStyle name="Comma 6" xfId="36"/>
    <cellStyle name="Comma 7" xfId="37"/>
    <cellStyle name="Currency [0] 2" xfId="38"/>
    <cellStyle name="Currency 2" xfId="39"/>
    <cellStyle name="Currency 3" xfId="40"/>
    <cellStyle name="Currency 4" xfId="41"/>
    <cellStyle name="Currency 5" xfId="42"/>
    <cellStyle name="Currency 6" xfId="43"/>
    <cellStyle name="Currency 7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Input 2" xfId="51"/>
    <cellStyle name="Linked Cell 2" xfId="52"/>
    <cellStyle name="Neutral 2" xfId="53"/>
    <cellStyle name="Normal" xfId="0" builtinId="0"/>
    <cellStyle name="Normal 2" xfId="54"/>
    <cellStyle name="Normal_Sheet7" xfId="3"/>
    <cellStyle name="Note 2" xfId="55"/>
    <cellStyle name="Output 2" xfId="56"/>
    <cellStyle name="Percent" xfId="2" builtinId="5"/>
    <cellStyle name="Percent 2" xfId="57"/>
    <cellStyle name="Title 2" xfId="58"/>
    <cellStyle name="Total 2" xfId="59"/>
    <cellStyle name="Warning Tex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C.Duggan/All%20budgets/Agency%20Budget-%20Sept%20Bd%20Meeting%20%2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 Salary"/>
      <sheetName val="Non HS Salary"/>
      <sheetName val="HeadStart"/>
      <sheetName val="Sheet1"/>
      <sheetName val="USDA"/>
      <sheetName val="VPK"/>
      <sheetName val="CSBG"/>
      <sheetName val="LIHEAP"/>
      <sheetName val="WAP_WX"/>
      <sheetName val="WAP_LH"/>
      <sheetName val="WAPARRA"/>
      <sheetName val="Perm Reloc"/>
      <sheetName val="CHSP"/>
      <sheetName val="DEAP"/>
      <sheetName val="Project share"/>
      <sheetName val="Fringe"/>
      <sheetName val="Indirect"/>
      <sheetName val="General fund"/>
      <sheetName val="Chart1"/>
      <sheetName val="Chart2"/>
      <sheetName val="Countywide"/>
      <sheetName val="Fundraising"/>
      <sheetName val="Sheet2"/>
    </sheetNames>
    <sheetDataSet>
      <sheetData sheetId="0" refreshError="1"/>
      <sheetData sheetId="1" refreshError="1"/>
      <sheetData sheetId="2">
        <row r="39">
          <cell r="G39">
            <v>22000</v>
          </cell>
        </row>
      </sheetData>
      <sheetData sheetId="3" refreshError="1"/>
      <sheetData sheetId="4" refreshError="1"/>
      <sheetData sheetId="5" refreshError="1"/>
      <sheetData sheetId="6">
        <row r="8">
          <cell r="G8">
            <v>0</v>
          </cell>
        </row>
      </sheetData>
      <sheetData sheetId="7">
        <row r="33">
          <cell r="G33">
            <v>300</v>
          </cell>
        </row>
      </sheetData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11">
          <cell r="G11">
            <v>8400</v>
          </cell>
        </row>
      </sheetData>
      <sheetData sheetId="15" refreshError="1"/>
      <sheetData sheetId="16">
        <row r="22">
          <cell r="G22">
            <v>14000</v>
          </cell>
        </row>
      </sheetData>
      <sheetData sheetId="17">
        <row r="8">
          <cell r="G8">
            <v>1100</v>
          </cell>
        </row>
        <row r="18">
          <cell r="G18">
            <v>50</v>
          </cell>
        </row>
      </sheetData>
      <sheetData sheetId="18" refreshError="1"/>
      <sheetData sheetId="19" refreshError="1"/>
      <sheetData sheetId="20" refreshError="1"/>
      <sheetData sheetId="21">
        <row r="7">
          <cell r="G7">
            <v>10000</v>
          </cell>
        </row>
        <row r="13">
          <cell r="G13">
            <v>500</v>
          </cell>
        </row>
        <row r="14">
          <cell r="G14">
            <v>500</v>
          </cell>
        </row>
        <row r="15">
          <cell r="G15">
            <v>500</v>
          </cell>
        </row>
        <row r="17">
          <cell r="G17">
            <v>500</v>
          </cell>
        </row>
        <row r="19">
          <cell r="G19">
            <v>500</v>
          </cell>
        </row>
        <row r="21">
          <cell r="G21">
            <v>1000</v>
          </cell>
        </row>
        <row r="23">
          <cell r="G23">
            <v>1000</v>
          </cell>
        </row>
        <row r="25">
          <cell r="G25">
            <v>300</v>
          </cell>
        </row>
      </sheetData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tabSelected="1" topLeftCell="A3" zoomScale="90" zoomScaleNormal="90" workbookViewId="0">
      <selection activeCell="R21" sqref="R21:R22"/>
    </sheetView>
  </sheetViews>
  <sheetFormatPr defaultRowHeight="15" x14ac:dyDescent="0.3"/>
  <cols>
    <col min="1" max="1" width="8.5703125" style="1" bestFit="1" customWidth="1"/>
    <col min="2" max="2" width="0" style="1" hidden="1" customWidth="1"/>
    <col min="3" max="3" width="40" style="1" bestFit="1" customWidth="1"/>
    <col min="4" max="4" width="11.85546875" style="1" customWidth="1"/>
    <col min="5" max="5" width="8.7109375" style="1" customWidth="1"/>
    <col min="6" max="6" width="8.7109375" style="2" customWidth="1"/>
    <col min="7" max="7" width="10.42578125" style="2" customWidth="1"/>
    <col min="8" max="9" width="9.7109375" style="1" customWidth="1"/>
    <col min="10" max="11" width="8.5703125" style="1" customWidth="1"/>
    <col min="12" max="12" width="11.140625" style="1" customWidth="1"/>
    <col min="13" max="13" width="10.7109375" style="1" customWidth="1"/>
    <col min="14" max="14" width="12" style="1" customWidth="1"/>
    <col min="15" max="16" width="7.85546875" style="1" customWidth="1"/>
    <col min="17" max="17" width="8.140625" style="1" customWidth="1"/>
    <col min="18" max="18" width="8.7109375" style="1" customWidth="1"/>
    <col min="19" max="19" width="8.42578125" style="1" customWidth="1"/>
    <col min="20" max="20" width="9.5703125" style="1" customWidth="1"/>
    <col min="21" max="22" width="12.28515625" style="1" customWidth="1"/>
    <col min="23" max="23" width="12.28515625" style="1" hidden="1" customWidth="1"/>
    <col min="24" max="24" width="11.85546875" style="1" customWidth="1"/>
    <col min="25" max="25" width="12" style="6" customWidth="1"/>
    <col min="26" max="26" width="0" style="1" hidden="1" customWidth="1"/>
    <col min="27" max="16384" width="9.140625" style="1"/>
  </cols>
  <sheetData>
    <row r="1" spans="1:26" ht="15" hidden="1" customHeight="1" x14ac:dyDescent="0.3">
      <c r="L1" s="3"/>
      <c r="M1" s="3"/>
      <c r="N1" s="4"/>
      <c r="O1" s="4"/>
      <c r="P1" s="4"/>
      <c r="Q1" s="4"/>
      <c r="R1" s="5"/>
    </row>
    <row r="2" spans="1:26" ht="15" hidden="1" customHeight="1" x14ac:dyDescent="0.3">
      <c r="A2" s="7"/>
      <c r="B2" s="7"/>
      <c r="C2" s="7"/>
      <c r="D2" s="7"/>
      <c r="E2" s="7"/>
      <c r="F2" s="8"/>
      <c r="G2" s="8"/>
      <c r="H2" s="7"/>
      <c r="I2" s="7"/>
      <c r="J2" s="7"/>
      <c r="K2" s="7"/>
      <c r="L2" s="9"/>
      <c r="M2" s="9"/>
      <c r="N2" s="10"/>
      <c r="O2" s="10"/>
      <c r="P2" s="10"/>
      <c r="Q2" s="10"/>
      <c r="R2" s="7"/>
      <c r="S2" s="7"/>
      <c r="T2" s="7"/>
      <c r="U2" s="7"/>
      <c r="V2" s="7"/>
      <c r="W2" s="7"/>
      <c r="X2" s="7"/>
      <c r="Y2" s="11"/>
    </row>
    <row r="3" spans="1:26" ht="15" customHeight="1" x14ac:dyDescent="0.35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  <c r="W3" s="14"/>
      <c r="X3" s="15"/>
      <c r="Y3" s="16"/>
      <c r="Z3" s="17"/>
    </row>
    <row r="4" spans="1:26" ht="15" customHeight="1" x14ac:dyDescent="0.3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1"/>
      <c r="Y4" s="22"/>
      <c r="Z4" s="17"/>
    </row>
    <row r="5" spans="1:26" s="36" customFormat="1" ht="27.75" customHeight="1" x14ac:dyDescent="0.35">
      <c r="A5" s="23" t="s">
        <v>2</v>
      </c>
      <c r="B5" s="24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7" t="s">
        <v>8</v>
      </c>
      <c r="I5" s="26" t="s">
        <v>9</v>
      </c>
      <c r="J5" s="28" t="s">
        <v>10</v>
      </c>
      <c r="K5" s="29" t="s">
        <v>11</v>
      </c>
      <c r="L5" s="30" t="s">
        <v>12</v>
      </c>
      <c r="M5" s="26" t="s">
        <v>13</v>
      </c>
      <c r="N5" s="26" t="s">
        <v>14</v>
      </c>
      <c r="O5" s="30" t="s">
        <v>15</v>
      </c>
      <c r="P5" s="30" t="s">
        <v>16</v>
      </c>
      <c r="Q5" s="30" t="s">
        <v>17</v>
      </c>
      <c r="R5" s="31" t="s">
        <v>18</v>
      </c>
      <c r="S5" s="31" t="s">
        <v>19</v>
      </c>
      <c r="T5" s="31" t="s">
        <v>20</v>
      </c>
      <c r="U5" s="30" t="s">
        <v>21</v>
      </c>
      <c r="V5" s="32" t="s">
        <v>22</v>
      </c>
      <c r="W5" s="33" t="s">
        <v>23</v>
      </c>
      <c r="X5" s="33" t="s">
        <v>24</v>
      </c>
      <c r="Y5" s="34" t="s">
        <v>25</v>
      </c>
      <c r="Z5" s="35"/>
    </row>
    <row r="6" spans="1:26" s="38" customFormat="1" ht="27" customHeight="1" thickBot="1" x14ac:dyDescent="0.4">
      <c r="A6" s="37"/>
      <c r="C6" s="39"/>
      <c r="D6" s="40"/>
      <c r="E6" s="40"/>
      <c r="F6" s="40"/>
      <c r="G6" s="40"/>
      <c r="H6" s="41"/>
      <c r="I6" s="40"/>
      <c r="J6" s="42"/>
      <c r="K6" s="43"/>
      <c r="L6" s="44"/>
      <c r="M6" s="40"/>
      <c r="N6" s="40"/>
      <c r="O6" s="44"/>
      <c r="P6" s="44"/>
      <c r="Q6" s="44"/>
      <c r="R6" s="45"/>
      <c r="S6" s="45"/>
      <c r="T6" s="45"/>
      <c r="U6" s="44"/>
      <c r="V6" s="46"/>
      <c r="W6" s="47"/>
      <c r="X6" s="47"/>
      <c r="Y6" s="48"/>
      <c r="Z6" s="49"/>
    </row>
    <row r="7" spans="1:26" s="51" customFormat="1" x14ac:dyDescent="0.3">
      <c r="A7" s="50"/>
      <c r="D7" s="52"/>
      <c r="E7" s="52"/>
      <c r="F7" s="52"/>
      <c r="G7" s="52"/>
      <c r="H7" s="52"/>
      <c r="I7" s="52"/>
      <c r="J7" s="52"/>
      <c r="K7" s="52"/>
      <c r="L7" s="53"/>
      <c r="M7" s="52"/>
      <c r="N7" s="52"/>
      <c r="O7" s="53"/>
      <c r="P7" s="53"/>
      <c r="Q7" s="52"/>
      <c r="R7" s="54"/>
      <c r="S7" s="55"/>
      <c r="T7" s="55"/>
      <c r="U7" s="53"/>
      <c r="V7" s="56"/>
      <c r="W7" s="56"/>
      <c r="Y7" s="57"/>
      <c r="Z7" s="58"/>
    </row>
    <row r="8" spans="1:26" x14ac:dyDescent="0.3">
      <c r="A8" s="59">
        <v>4000</v>
      </c>
      <c r="C8" s="1" t="s">
        <v>26</v>
      </c>
      <c r="D8" s="60">
        <v>3372460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1"/>
      <c r="S8" s="61"/>
      <c r="T8" s="61"/>
      <c r="U8" s="60">
        <f t="shared" ref="U8:U14" si="0">SUM(C8:T8)</f>
        <v>3372460</v>
      </c>
      <c r="V8" s="62">
        <v>3339421</v>
      </c>
      <c r="W8" s="62">
        <v>3070510</v>
      </c>
      <c r="X8" s="62">
        <f t="shared" ref="X8:X14" si="1">U8-V8</f>
        <v>33039</v>
      </c>
      <c r="Y8" s="63">
        <f>X8/V8</f>
        <v>9.8936312612276194E-3</v>
      </c>
      <c r="Z8" s="17"/>
    </row>
    <row r="9" spans="1:26" x14ac:dyDescent="0.3">
      <c r="A9" s="59">
        <v>4010</v>
      </c>
      <c r="C9" s="1" t="s">
        <v>27</v>
      </c>
      <c r="D9" s="60"/>
      <c r="E9" s="60">
        <v>256000</v>
      </c>
      <c r="F9" s="60">
        <v>344701</v>
      </c>
      <c r="G9" s="60">
        <v>70000</v>
      </c>
      <c r="H9" s="60"/>
      <c r="I9" s="60"/>
      <c r="J9" s="60"/>
      <c r="K9" s="60"/>
      <c r="L9" s="60">
        <v>691716</v>
      </c>
      <c r="M9" s="60">
        <v>1180048</v>
      </c>
      <c r="N9" s="60">
        <v>479082</v>
      </c>
      <c r="O9" s="60"/>
      <c r="P9" s="60"/>
      <c r="Q9" s="60"/>
      <c r="R9" s="61"/>
      <c r="S9" s="61"/>
      <c r="T9" s="61"/>
      <c r="U9" s="60">
        <f t="shared" si="0"/>
        <v>3021547</v>
      </c>
      <c r="V9" s="62">
        <v>3464800</v>
      </c>
      <c r="W9" s="62">
        <v>4069316</v>
      </c>
      <c r="X9" s="62">
        <f t="shared" si="1"/>
        <v>-443253</v>
      </c>
      <c r="Y9" s="63">
        <f>X9/V9</f>
        <v>-0.12793032786885247</v>
      </c>
      <c r="Z9" s="17"/>
    </row>
    <row r="10" spans="1:26" x14ac:dyDescent="0.3">
      <c r="A10" s="59">
        <v>4020</v>
      </c>
      <c r="C10" s="1" t="s">
        <v>28</v>
      </c>
      <c r="D10" s="60"/>
      <c r="E10" s="60"/>
      <c r="F10" s="60"/>
      <c r="G10" s="60"/>
      <c r="H10" s="60">
        <v>53500</v>
      </c>
      <c r="I10" s="60">
        <v>9000</v>
      </c>
      <c r="J10" s="60"/>
      <c r="K10" s="60"/>
      <c r="L10" s="60"/>
      <c r="M10" s="60"/>
      <c r="N10" s="60"/>
      <c r="O10" s="60"/>
      <c r="P10" s="60">
        <v>7500</v>
      </c>
      <c r="Q10" s="60">
        <v>52000</v>
      </c>
      <c r="R10" s="61"/>
      <c r="S10" s="61"/>
      <c r="T10" s="61"/>
      <c r="U10" s="60">
        <f t="shared" si="0"/>
        <v>122000</v>
      </c>
      <c r="V10" s="62">
        <v>119500</v>
      </c>
      <c r="W10" s="62">
        <v>161500</v>
      </c>
      <c r="X10" s="62">
        <f t="shared" si="1"/>
        <v>2500</v>
      </c>
      <c r="Y10" s="63">
        <f>X10/V10</f>
        <v>2.0920502092050208E-2</v>
      </c>
      <c r="Z10" s="17"/>
    </row>
    <row r="11" spans="1:26" x14ac:dyDescent="0.3">
      <c r="A11" s="59">
        <v>4100</v>
      </c>
      <c r="C11" s="1" t="s">
        <v>29</v>
      </c>
      <c r="D11" s="60"/>
      <c r="E11" s="60"/>
      <c r="F11" s="60"/>
      <c r="G11" s="60"/>
      <c r="H11" s="60">
        <v>15000</v>
      </c>
      <c r="I11" s="60"/>
      <c r="J11" s="60">
        <f>2000+1200+400+1000</f>
        <v>4600</v>
      </c>
      <c r="K11" s="60">
        <v>9747</v>
      </c>
      <c r="L11" s="60"/>
      <c r="M11" s="60"/>
      <c r="N11" s="60"/>
      <c r="O11" s="60">
        <v>15000</v>
      </c>
      <c r="P11" s="60"/>
      <c r="Q11" s="60"/>
      <c r="R11" s="61"/>
      <c r="S11" s="61"/>
      <c r="T11" s="61"/>
      <c r="U11" s="60">
        <f t="shared" si="0"/>
        <v>44347</v>
      </c>
      <c r="V11" s="62">
        <v>40500</v>
      </c>
      <c r="W11" s="62">
        <v>25500</v>
      </c>
      <c r="X11" s="62">
        <f t="shared" si="1"/>
        <v>3847</v>
      </c>
      <c r="Y11" s="63">
        <f>X11/V11</f>
        <v>9.4987654320987658E-2</v>
      </c>
      <c r="Z11" s="17"/>
    </row>
    <row r="12" spans="1:26" x14ac:dyDescent="0.3">
      <c r="A12" s="59">
        <v>4200</v>
      </c>
      <c r="C12" s="1" t="s">
        <v>30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61">
        <v>3500</v>
      </c>
      <c r="T12" s="61">
        <v>20000</v>
      </c>
      <c r="U12" s="60">
        <f t="shared" si="0"/>
        <v>23500</v>
      </c>
      <c r="V12" s="62">
        <v>37500</v>
      </c>
      <c r="W12" s="62">
        <v>22700</v>
      </c>
      <c r="X12" s="62">
        <f t="shared" si="1"/>
        <v>-14000</v>
      </c>
      <c r="Y12" s="63">
        <f>X12/V12</f>
        <v>-0.37333333333333335</v>
      </c>
      <c r="Z12" s="17"/>
    </row>
    <row r="13" spans="1:26" hidden="1" x14ac:dyDescent="0.3">
      <c r="A13" s="59">
        <v>4300</v>
      </c>
      <c r="C13" s="1" t="s">
        <v>31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/>
      <c r="S13" s="61"/>
      <c r="T13" s="61"/>
      <c r="U13" s="60">
        <f t="shared" si="0"/>
        <v>0</v>
      </c>
      <c r="V13" s="62">
        <f>SUM(D13:T13)</f>
        <v>0</v>
      </c>
      <c r="W13" s="62">
        <v>40375</v>
      </c>
      <c r="X13" s="62">
        <f t="shared" si="1"/>
        <v>0</v>
      </c>
      <c r="Y13" s="63"/>
      <c r="Z13" s="17"/>
    </row>
    <row r="14" spans="1:26" x14ac:dyDescent="0.3">
      <c r="A14" s="59">
        <v>4320</v>
      </c>
      <c r="C14" s="1" t="s">
        <v>32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1"/>
      <c r="S14" s="61">
        <v>2000</v>
      </c>
      <c r="T14" s="61"/>
      <c r="U14" s="60">
        <f t="shared" si="0"/>
        <v>2000</v>
      </c>
      <c r="V14" s="62">
        <f>SUM(D14:T14)</f>
        <v>2000</v>
      </c>
      <c r="W14" s="62">
        <v>1100</v>
      </c>
      <c r="X14" s="62">
        <f t="shared" si="1"/>
        <v>0</v>
      </c>
      <c r="Y14" s="63">
        <f>X14/V14</f>
        <v>0</v>
      </c>
      <c r="Z14" s="17"/>
    </row>
    <row r="15" spans="1:26" hidden="1" x14ac:dyDescent="0.3">
      <c r="A15" s="59">
        <v>4960</v>
      </c>
      <c r="C15" s="1" t="s">
        <v>33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  <c r="S15" s="61"/>
      <c r="T15" s="61"/>
      <c r="U15" s="60"/>
      <c r="V15" s="62"/>
      <c r="W15" s="62"/>
      <c r="X15" s="62"/>
      <c r="Y15" s="63"/>
      <c r="Z15" s="17"/>
    </row>
    <row r="16" spans="1:26" x14ac:dyDescent="0.3">
      <c r="A16" s="59">
        <v>4970</v>
      </c>
      <c r="C16" s="1" t="s">
        <v>34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>
        <f>+U24-Q24</f>
        <v>627867.93661119998</v>
      </c>
      <c r="S16" s="64"/>
      <c r="T16" s="61"/>
      <c r="U16" s="60">
        <f>SUM(C16:T16)</f>
        <v>627867.93661119998</v>
      </c>
      <c r="V16" s="62">
        <v>613907</v>
      </c>
      <c r="W16" s="62">
        <v>531034</v>
      </c>
      <c r="X16" s="62">
        <f>U16-V16</f>
        <v>13960.936611199984</v>
      </c>
      <c r="Y16" s="63">
        <f>X16/V16</f>
        <v>2.2741126280039135E-2</v>
      </c>
      <c r="Z16" s="17"/>
    </row>
    <row r="17" spans="1:26" x14ac:dyDescent="0.3">
      <c r="A17" s="59">
        <v>4990</v>
      </c>
      <c r="C17" s="1" t="s">
        <v>35</v>
      </c>
      <c r="D17" s="60">
        <f>(+D8*0.25)-E9-G9-H10-H11</f>
        <v>448615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1"/>
      <c r="S17" s="61"/>
      <c r="T17" s="61"/>
      <c r="U17" s="60">
        <f>SUM(C17:T17)</f>
        <v>448615</v>
      </c>
      <c r="V17" s="62">
        <v>498855</v>
      </c>
      <c r="W17" s="62">
        <v>341156</v>
      </c>
      <c r="X17" s="62">
        <f>U17-V17</f>
        <v>-50240</v>
      </c>
      <c r="Y17" s="63">
        <f>X17/V17</f>
        <v>-0.10071062733660081</v>
      </c>
      <c r="Z17" s="17"/>
    </row>
    <row r="18" spans="1:26" x14ac:dyDescent="0.3">
      <c r="A18" s="59">
        <v>4995</v>
      </c>
      <c r="C18" s="1" t="s">
        <v>36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1"/>
      <c r="S18" s="61">
        <v>9750</v>
      </c>
      <c r="T18" s="61"/>
      <c r="U18" s="60">
        <f>SUM(C18:T18)</f>
        <v>9750</v>
      </c>
      <c r="V18" s="62">
        <f>SUM(D18:T18)</f>
        <v>9750</v>
      </c>
      <c r="W18" s="62">
        <v>0</v>
      </c>
      <c r="X18" s="62">
        <f>U18-V18</f>
        <v>0</v>
      </c>
      <c r="Y18" s="63"/>
      <c r="Z18" s="17"/>
    </row>
    <row r="19" spans="1:26" s="66" customFormat="1" ht="16.5" x14ac:dyDescent="0.35">
      <c r="A19" s="65"/>
      <c r="C19" s="66" t="s">
        <v>37</v>
      </c>
      <c r="D19" s="67">
        <f>SUM(D8:D17)</f>
        <v>3821075</v>
      </c>
      <c r="E19" s="67">
        <f>SUM(E8:E17)</f>
        <v>256000</v>
      </c>
      <c r="F19" s="67">
        <f t="shared" ref="F19:L19" si="2">SUM(F8:F18)</f>
        <v>344701</v>
      </c>
      <c r="G19" s="67">
        <f t="shared" si="2"/>
        <v>70000</v>
      </c>
      <c r="H19" s="67">
        <f t="shared" si="2"/>
        <v>68500</v>
      </c>
      <c r="I19" s="67">
        <f t="shared" si="2"/>
        <v>9000</v>
      </c>
      <c r="J19" s="67">
        <f t="shared" si="2"/>
        <v>4600</v>
      </c>
      <c r="K19" s="67">
        <f t="shared" si="2"/>
        <v>9747</v>
      </c>
      <c r="L19" s="67">
        <f t="shared" si="2"/>
        <v>691716</v>
      </c>
      <c r="M19" s="67">
        <f>SUM(M8:M17)</f>
        <v>1180048</v>
      </c>
      <c r="N19" s="67">
        <f>SUM(N8:N17)</f>
        <v>479082</v>
      </c>
      <c r="O19" s="67">
        <f>SUM(O9:O18)</f>
        <v>15000</v>
      </c>
      <c r="P19" s="67">
        <f>SUM(P9:P18)</f>
        <v>7500</v>
      </c>
      <c r="Q19" s="67">
        <f>SUM(Q8:Q17)</f>
        <v>52000</v>
      </c>
      <c r="R19" s="68">
        <f>SUM(R8:R18)</f>
        <v>627867.93661119998</v>
      </c>
      <c r="S19" s="68">
        <f>SUM(S8:S18)</f>
        <v>15250</v>
      </c>
      <c r="T19" s="68">
        <f>SUM(T8:T18)</f>
        <v>20000</v>
      </c>
      <c r="U19" s="67">
        <f>SUM(C19:T19)</f>
        <v>7672086.9366111998</v>
      </c>
      <c r="V19" s="69">
        <f>SUM(V8:V18)</f>
        <v>8126233</v>
      </c>
      <c r="W19" s="69">
        <f>SUM(W8:W18)</f>
        <v>8263191</v>
      </c>
      <c r="X19" s="69">
        <f>U19-V19</f>
        <v>-454146.06338880025</v>
      </c>
      <c r="Y19" s="63">
        <f>X19/V19</f>
        <v>-5.5886419130340002E-2</v>
      </c>
      <c r="Z19" s="70"/>
    </row>
    <row r="20" spans="1:26" s="2" customFormat="1" x14ac:dyDescent="0.3">
      <c r="A20" s="71"/>
      <c r="B20" s="72"/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4"/>
      <c r="Z20" s="75"/>
    </row>
    <row r="21" spans="1:26" x14ac:dyDescent="0.3">
      <c r="A21" s="59">
        <v>6010</v>
      </c>
      <c r="C21" s="1" t="s">
        <v>38</v>
      </c>
      <c r="D21" s="60">
        <f>1641515+21330</f>
        <v>1662845</v>
      </c>
      <c r="E21" s="60">
        <v>138865</v>
      </c>
      <c r="F21" s="76">
        <v>119421</v>
      </c>
      <c r="G21" s="76"/>
      <c r="H21" s="60">
        <v>25077</v>
      </c>
      <c r="I21" s="60"/>
      <c r="J21" s="60"/>
      <c r="K21" s="60"/>
      <c r="L21" s="60">
        <v>287892</v>
      </c>
      <c r="M21" s="60">
        <v>137371</v>
      </c>
      <c r="N21" s="60">
        <v>78985</v>
      </c>
      <c r="O21" s="60"/>
      <c r="P21" s="60"/>
      <c r="Q21" s="60"/>
      <c r="R21" s="61">
        <f>237046+4385</f>
        <v>241431</v>
      </c>
      <c r="S21" s="61"/>
      <c r="T21" s="61"/>
      <c r="U21" s="60">
        <f t="shared" ref="U21:U69" si="3">SUM(C21:T21)</f>
        <v>2691887</v>
      </c>
      <c r="V21" s="62">
        <v>2693388</v>
      </c>
      <c r="W21" s="62">
        <v>2754704</v>
      </c>
      <c r="X21" s="62">
        <f t="shared" ref="X21:X69" si="4">U21-V21</f>
        <v>-1501</v>
      </c>
      <c r="Y21" s="63">
        <f t="shared" ref="Y21:Y47" si="5">X21/V21</f>
        <v>-5.5729066885276094E-4</v>
      </c>
      <c r="Z21" s="17"/>
    </row>
    <row r="22" spans="1:26" x14ac:dyDescent="0.3">
      <c r="A22" s="59">
        <v>6110</v>
      </c>
      <c r="C22" s="1" t="s">
        <v>39</v>
      </c>
      <c r="D22" s="60">
        <f>445592+6075</f>
        <v>451667</v>
      </c>
      <c r="E22" s="60">
        <f>+E21*0.2848</f>
        <v>39548.752</v>
      </c>
      <c r="F22" s="76">
        <v>34011</v>
      </c>
      <c r="G22" s="77"/>
      <c r="H22" s="60">
        <v>7142</v>
      </c>
      <c r="I22" s="60"/>
      <c r="J22" s="60"/>
      <c r="K22" s="60"/>
      <c r="L22" s="60">
        <v>81991</v>
      </c>
      <c r="M22" s="60">
        <v>39123</v>
      </c>
      <c r="N22" s="60">
        <v>22495</v>
      </c>
      <c r="O22" s="60"/>
      <c r="P22" s="60"/>
      <c r="Q22" s="60"/>
      <c r="R22" s="61">
        <f>67511+1249</f>
        <v>68760</v>
      </c>
      <c r="S22" s="61"/>
      <c r="T22" s="61"/>
      <c r="U22" s="60">
        <f t="shared" si="3"/>
        <v>744737.75199999998</v>
      </c>
      <c r="V22" s="62">
        <v>745307</v>
      </c>
      <c r="W22" s="62">
        <v>740373</v>
      </c>
      <c r="X22" s="62">
        <f t="shared" si="4"/>
        <v>-569.24800000002142</v>
      </c>
      <c r="Y22" s="63">
        <f t="shared" si="5"/>
        <v>-7.6377653772206813E-4</v>
      </c>
      <c r="Z22" s="17"/>
    </row>
    <row r="23" spans="1:26" x14ac:dyDescent="0.3">
      <c r="A23" s="78">
        <v>6180</v>
      </c>
      <c r="C23" s="1" t="s">
        <v>40</v>
      </c>
      <c r="D23" s="60">
        <v>1800</v>
      </c>
      <c r="E23" s="60"/>
      <c r="F23" s="60"/>
      <c r="G23" s="60"/>
      <c r="H23" s="60"/>
      <c r="I23" s="60"/>
      <c r="J23" s="60"/>
      <c r="K23" s="60"/>
      <c r="L23" s="60">
        <v>33</v>
      </c>
      <c r="M23" s="60"/>
      <c r="N23" s="60">
        <v>100</v>
      </c>
      <c r="O23" s="60"/>
      <c r="P23" s="60"/>
      <c r="Q23" s="60"/>
      <c r="R23" s="61">
        <v>300</v>
      </c>
      <c r="S23" s="61"/>
      <c r="T23" s="61"/>
      <c r="U23" s="60">
        <f t="shared" si="3"/>
        <v>2233</v>
      </c>
      <c r="V23" s="62">
        <v>2794</v>
      </c>
      <c r="W23" s="62">
        <v>2552</v>
      </c>
      <c r="X23" s="62">
        <f t="shared" si="4"/>
        <v>-561</v>
      </c>
      <c r="Y23" s="63">
        <f t="shared" si="5"/>
        <v>-0.20078740157480315</v>
      </c>
      <c r="Z23" s="17">
        <v>2000</v>
      </c>
    </row>
    <row r="24" spans="1:26" x14ac:dyDescent="0.3">
      <c r="A24" s="78">
        <v>6210</v>
      </c>
      <c r="C24" s="1" t="s">
        <v>41</v>
      </c>
      <c r="D24" s="60">
        <f>417423+5634</f>
        <v>423057</v>
      </c>
      <c r="E24" s="60">
        <f>(+E22+E21)*0.2056</f>
        <v>36681.867411200001</v>
      </c>
      <c r="F24" s="60">
        <f>(+F22+F21)*0.2056</f>
        <v>31545.619200000001</v>
      </c>
      <c r="G24" s="60"/>
      <c r="H24" s="60">
        <v>6444</v>
      </c>
      <c r="I24" s="60"/>
      <c r="J24" s="60"/>
      <c r="K24" s="60"/>
      <c r="L24" s="60">
        <v>73976</v>
      </c>
      <c r="M24" s="60">
        <v>35299</v>
      </c>
      <c r="N24" s="60">
        <v>20864.45</v>
      </c>
      <c r="O24" s="60"/>
      <c r="P24" s="60"/>
      <c r="Q24" s="60">
        <f>'[1]Project share'!$G$11</f>
        <v>8400</v>
      </c>
      <c r="R24" s="61"/>
      <c r="S24" s="61"/>
      <c r="T24" s="61"/>
      <c r="U24" s="60">
        <f t="shared" si="3"/>
        <v>636267.93661119998</v>
      </c>
      <c r="V24" s="62">
        <v>622307</v>
      </c>
      <c r="W24" s="62">
        <v>531034</v>
      </c>
      <c r="X24" s="62">
        <f t="shared" si="4"/>
        <v>13960.936611199984</v>
      </c>
      <c r="Y24" s="63">
        <f t="shared" si="5"/>
        <v>2.2434162899019269E-2</v>
      </c>
      <c r="Z24" s="17"/>
    </row>
    <row r="25" spans="1:26" x14ac:dyDescent="0.3">
      <c r="A25" s="78">
        <v>6310</v>
      </c>
      <c r="C25" s="1" t="s">
        <v>42</v>
      </c>
      <c r="D25" s="60">
        <v>2000</v>
      </c>
      <c r="E25" s="60"/>
      <c r="F25" s="60"/>
      <c r="G25" s="60"/>
      <c r="H25" s="60"/>
      <c r="I25" s="60"/>
      <c r="J25" s="60"/>
      <c r="K25" s="60"/>
      <c r="L25" s="60">
        <v>6559</v>
      </c>
      <c r="M25" s="60">
        <v>2613</v>
      </c>
      <c r="N25" s="60">
        <v>8500</v>
      </c>
      <c r="O25" s="60"/>
      <c r="P25" s="60"/>
      <c r="Q25" s="60"/>
      <c r="R25" s="61">
        <v>800</v>
      </c>
      <c r="S25" s="61"/>
      <c r="T25" s="61">
        <f>[1]Fundraising!$G$13</f>
        <v>500</v>
      </c>
      <c r="U25" s="60">
        <f t="shared" si="3"/>
        <v>20972</v>
      </c>
      <c r="V25" s="62">
        <v>22710</v>
      </c>
      <c r="W25" s="62">
        <v>18478</v>
      </c>
      <c r="X25" s="62">
        <f t="shared" si="4"/>
        <v>-1738</v>
      </c>
      <c r="Y25" s="63">
        <f t="shared" si="5"/>
        <v>-7.6530162923822101E-2</v>
      </c>
      <c r="Z25" s="17"/>
    </row>
    <row r="26" spans="1:26" x14ac:dyDescent="0.3">
      <c r="A26" s="78">
        <v>6315</v>
      </c>
      <c r="C26" s="1" t="s">
        <v>43</v>
      </c>
      <c r="D26" s="60">
        <v>4000</v>
      </c>
      <c r="E26" s="60"/>
      <c r="F26" s="60"/>
      <c r="G26" s="60"/>
      <c r="H26" s="60"/>
      <c r="I26" s="60"/>
      <c r="J26" s="60"/>
      <c r="K26" s="60"/>
      <c r="L26" s="60">
        <v>15084</v>
      </c>
      <c r="M26" s="60">
        <v>1340</v>
      </c>
      <c r="N26" s="60"/>
      <c r="O26" s="60"/>
      <c r="P26" s="60"/>
      <c r="Q26" s="60"/>
      <c r="R26" s="61"/>
      <c r="S26" s="61"/>
      <c r="T26" s="61"/>
      <c r="U26" s="60">
        <f t="shared" si="3"/>
        <v>20424</v>
      </c>
      <c r="V26" s="62">
        <v>16159</v>
      </c>
      <c r="W26" s="62">
        <v>0</v>
      </c>
      <c r="X26" s="62">
        <f t="shared" si="4"/>
        <v>4265</v>
      </c>
      <c r="Y26" s="63">
        <f t="shared" si="5"/>
        <v>0.26393960022278606</v>
      </c>
      <c r="Z26" s="17">
        <v>4524</v>
      </c>
    </row>
    <row r="27" spans="1:26" x14ac:dyDescent="0.3">
      <c r="A27" s="78">
        <v>6410</v>
      </c>
      <c r="C27" s="1" t="s">
        <v>44</v>
      </c>
      <c r="D27" s="60">
        <v>9000</v>
      </c>
      <c r="E27" s="60"/>
      <c r="F27" s="60"/>
      <c r="G27" s="60"/>
      <c r="H27" s="60"/>
      <c r="I27" s="60"/>
      <c r="J27" s="60"/>
      <c r="K27" s="60"/>
      <c r="L27" s="60">
        <v>3015</v>
      </c>
      <c r="M27" s="60">
        <v>1206</v>
      </c>
      <c r="N27" s="60">
        <v>2000</v>
      </c>
      <c r="O27" s="60"/>
      <c r="P27" s="60"/>
      <c r="Q27" s="60"/>
      <c r="R27" s="61">
        <v>2500</v>
      </c>
      <c r="S27" s="61">
        <v>200</v>
      </c>
      <c r="T27" s="61">
        <f>[1]Fundraising!G14</f>
        <v>500</v>
      </c>
      <c r="U27" s="60">
        <f t="shared" si="3"/>
        <v>18421</v>
      </c>
      <c r="V27" s="62">
        <v>22407</v>
      </c>
      <c r="W27" s="62">
        <v>19150</v>
      </c>
      <c r="X27" s="62">
        <f t="shared" si="4"/>
        <v>-3986</v>
      </c>
      <c r="Y27" s="63">
        <f t="shared" si="5"/>
        <v>-0.17789083768465211</v>
      </c>
      <c r="Z27" s="17">
        <v>20779</v>
      </c>
    </row>
    <row r="28" spans="1:26" x14ac:dyDescent="0.3">
      <c r="A28" s="78">
        <v>6415</v>
      </c>
      <c r="C28" s="1" t="s">
        <v>45</v>
      </c>
      <c r="D28" s="60">
        <v>19650</v>
      </c>
      <c r="E28" s="60"/>
      <c r="F28" s="60"/>
      <c r="G28" s="60"/>
      <c r="H28" s="60">
        <v>1500</v>
      </c>
      <c r="I28" s="60"/>
      <c r="J28" s="60"/>
      <c r="K28" s="60"/>
      <c r="L28" s="60"/>
      <c r="M28" s="60"/>
      <c r="N28" s="60"/>
      <c r="O28" s="60"/>
      <c r="P28" s="60"/>
      <c r="Q28" s="60"/>
      <c r="R28" s="61"/>
      <c r="S28" s="61"/>
      <c r="T28" s="61"/>
      <c r="U28" s="60">
        <f t="shared" si="3"/>
        <v>21150</v>
      </c>
      <c r="V28" s="62">
        <v>21291</v>
      </c>
      <c r="W28" s="62">
        <v>10000</v>
      </c>
      <c r="X28" s="62">
        <f t="shared" si="4"/>
        <v>-141</v>
      </c>
      <c r="Y28" s="63">
        <f t="shared" si="5"/>
        <v>-6.6225165562913907E-3</v>
      </c>
      <c r="Z28" s="17">
        <v>21856</v>
      </c>
    </row>
    <row r="29" spans="1:26" x14ac:dyDescent="0.3">
      <c r="A29" s="78">
        <v>6420</v>
      </c>
      <c r="C29" s="1" t="s">
        <v>46</v>
      </c>
      <c r="D29" s="60">
        <v>40000</v>
      </c>
      <c r="E29" s="60">
        <v>6903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1"/>
      <c r="S29" s="61"/>
      <c r="T29" s="61"/>
      <c r="U29" s="60">
        <f t="shared" si="3"/>
        <v>46903</v>
      </c>
      <c r="V29" s="62">
        <v>46903</v>
      </c>
      <c r="W29" s="62">
        <v>38000</v>
      </c>
      <c r="X29" s="62">
        <f t="shared" si="4"/>
        <v>0</v>
      </c>
      <c r="Y29" s="63">
        <f t="shared" si="5"/>
        <v>0</v>
      </c>
      <c r="Z29" s="17">
        <v>58025</v>
      </c>
    </row>
    <row r="30" spans="1:26" x14ac:dyDescent="0.3">
      <c r="A30" s="78">
        <v>6430</v>
      </c>
      <c r="C30" s="1" t="s">
        <v>47</v>
      </c>
      <c r="D30" s="60"/>
      <c r="E30" s="60">
        <v>16000</v>
      </c>
      <c r="F30" s="60">
        <v>10000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  <c r="S30" s="61"/>
      <c r="T30" s="61"/>
      <c r="U30" s="60">
        <f t="shared" si="3"/>
        <v>26000</v>
      </c>
      <c r="V30" s="62">
        <v>23982</v>
      </c>
      <c r="W30" s="62">
        <v>40000</v>
      </c>
      <c r="X30" s="62">
        <f t="shared" si="4"/>
        <v>2018</v>
      </c>
      <c r="Y30" s="63">
        <f t="shared" si="5"/>
        <v>8.4146443165707616E-2</v>
      </c>
      <c r="Z30" s="17">
        <v>12401</v>
      </c>
    </row>
    <row r="31" spans="1:26" x14ac:dyDescent="0.3">
      <c r="A31" s="78">
        <v>6440</v>
      </c>
      <c r="C31" s="1" t="s">
        <v>48</v>
      </c>
      <c r="D31" s="60">
        <v>2000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  <c r="S31" s="61"/>
      <c r="T31" s="61"/>
      <c r="U31" s="60">
        <f t="shared" si="3"/>
        <v>2000</v>
      </c>
      <c r="V31" s="62">
        <v>2000</v>
      </c>
      <c r="W31" s="62">
        <v>3200</v>
      </c>
      <c r="X31" s="62">
        <f t="shared" si="4"/>
        <v>0</v>
      </c>
      <c r="Y31" s="63">
        <f t="shared" si="5"/>
        <v>0</v>
      </c>
      <c r="Z31" s="17">
        <v>3500</v>
      </c>
    </row>
    <row r="32" spans="1:26" x14ac:dyDescent="0.3">
      <c r="A32" s="78">
        <v>6510</v>
      </c>
      <c r="C32" s="1" t="s">
        <v>49</v>
      </c>
      <c r="D32" s="60">
        <v>9000</v>
      </c>
      <c r="E32" s="60"/>
      <c r="F32" s="60"/>
      <c r="G32" s="60"/>
      <c r="H32" s="60"/>
      <c r="I32" s="60"/>
      <c r="J32" s="60"/>
      <c r="K32" s="60"/>
      <c r="L32" s="60">
        <v>10182</v>
      </c>
      <c r="M32" s="60">
        <v>2613</v>
      </c>
      <c r="N32" s="60">
        <v>1050</v>
      </c>
      <c r="O32" s="60"/>
      <c r="P32" s="60"/>
      <c r="Q32" s="60"/>
      <c r="R32" s="61">
        <v>3000</v>
      </c>
      <c r="S32" s="61"/>
      <c r="T32" s="61">
        <f>[1]Fundraising!$G$15</f>
        <v>500</v>
      </c>
      <c r="U32" s="60">
        <f t="shared" si="3"/>
        <v>26345</v>
      </c>
      <c r="V32" s="62">
        <v>31404</v>
      </c>
      <c r="W32" s="62">
        <v>20399</v>
      </c>
      <c r="X32" s="62">
        <f t="shared" si="4"/>
        <v>-5059</v>
      </c>
      <c r="Y32" s="63">
        <f t="shared" si="5"/>
        <v>-0.16109412813654311</v>
      </c>
      <c r="Z32" s="17"/>
    </row>
    <row r="33" spans="1:26" x14ac:dyDescent="0.3">
      <c r="A33" s="78">
        <v>6600</v>
      </c>
      <c r="C33" s="1" t="s">
        <v>50</v>
      </c>
      <c r="D33" s="60">
        <v>1600</v>
      </c>
      <c r="E33" s="60"/>
      <c r="F33" s="60"/>
      <c r="G33" s="60"/>
      <c r="H33" s="60"/>
      <c r="I33" s="60"/>
      <c r="J33" s="60"/>
      <c r="K33" s="60"/>
      <c r="L33" s="60">
        <v>1809</v>
      </c>
      <c r="M33" s="60">
        <v>402</v>
      </c>
      <c r="N33" s="60">
        <v>300</v>
      </c>
      <c r="O33" s="60"/>
      <c r="P33" s="60"/>
      <c r="Q33" s="60"/>
      <c r="R33" s="61">
        <v>900</v>
      </c>
      <c r="S33" s="61">
        <f>'[1]General fund'!$G$18</f>
        <v>50</v>
      </c>
      <c r="T33" s="61"/>
      <c r="U33" s="60">
        <f t="shared" si="3"/>
        <v>5061</v>
      </c>
      <c r="V33" s="62">
        <v>5050</v>
      </c>
      <c r="W33" s="62">
        <v>7781</v>
      </c>
      <c r="X33" s="62">
        <f t="shared" si="4"/>
        <v>11</v>
      </c>
      <c r="Y33" s="63">
        <f t="shared" si="5"/>
        <v>2.1782178217821784E-3</v>
      </c>
      <c r="Z33" s="17">
        <v>7000</v>
      </c>
    </row>
    <row r="34" spans="1:26" x14ac:dyDescent="0.3">
      <c r="A34" s="78">
        <v>6710</v>
      </c>
      <c r="C34" s="1" t="s">
        <v>51</v>
      </c>
      <c r="D34" s="60">
        <v>55061</v>
      </c>
      <c r="E34" s="60"/>
      <c r="F34" s="60"/>
      <c r="G34" s="60"/>
      <c r="H34" s="60"/>
      <c r="I34" s="60"/>
      <c r="J34" s="60"/>
      <c r="K34" s="60"/>
      <c r="L34" s="60">
        <v>25192</v>
      </c>
      <c r="M34" s="60">
        <v>5025</v>
      </c>
      <c r="N34" s="60">
        <f>1000+2000+6285</f>
        <v>9285</v>
      </c>
      <c r="O34" s="60"/>
      <c r="P34" s="60"/>
      <c r="Q34" s="60"/>
      <c r="R34" s="61">
        <v>236793</v>
      </c>
      <c r="S34" s="61">
        <v>5000</v>
      </c>
      <c r="T34" s="61"/>
      <c r="U34" s="60">
        <f t="shared" si="3"/>
        <v>336356</v>
      </c>
      <c r="V34" s="62">
        <v>318361</v>
      </c>
      <c r="W34" s="62">
        <v>41525</v>
      </c>
      <c r="X34" s="62">
        <f t="shared" si="4"/>
        <v>17995</v>
      </c>
      <c r="Y34" s="63">
        <f t="shared" si="5"/>
        <v>5.6523883264595849E-2</v>
      </c>
      <c r="Z34" s="79">
        <v>144187</v>
      </c>
    </row>
    <row r="35" spans="1:26" x14ac:dyDescent="0.3">
      <c r="A35" s="78">
        <v>6715</v>
      </c>
      <c r="C35" s="1" t="s">
        <v>52</v>
      </c>
      <c r="D35" s="60">
        <v>88515</v>
      </c>
      <c r="E35" s="60"/>
      <c r="F35" s="60"/>
      <c r="G35" s="60">
        <v>70000</v>
      </c>
      <c r="H35" s="60">
        <v>15000</v>
      </c>
      <c r="I35" s="60"/>
      <c r="J35" s="60">
        <v>1200</v>
      </c>
      <c r="K35" s="60"/>
      <c r="L35" s="60"/>
      <c r="M35" s="60"/>
      <c r="N35" s="60"/>
      <c r="O35" s="60"/>
      <c r="P35" s="60"/>
      <c r="Q35" s="60"/>
      <c r="R35" s="61"/>
      <c r="S35" s="61"/>
      <c r="T35" s="61"/>
      <c r="U35" s="60">
        <f t="shared" si="3"/>
        <v>174715</v>
      </c>
      <c r="V35" s="62">
        <f>14680+4800+3272+89265</f>
        <v>112017</v>
      </c>
      <c r="W35" s="62"/>
      <c r="X35" s="62">
        <f t="shared" si="4"/>
        <v>62698</v>
      </c>
      <c r="Y35" s="63">
        <f t="shared" si="5"/>
        <v>0.55971861413892532</v>
      </c>
      <c r="Z35" s="79"/>
    </row>
    <row r="36" spans="1:26" x14ac:dyDescent="0.3">
      <c r="A36" s="78">
        <v>6810</v>
      </c>
      <c r="C36" s="1" t="s">
        <v>53</v>
      </c>
      <c r="D36" s="60">
        <v>180000</v>
      </c>
      <c r="E36" s="60">
        <v>4000</v>
      </c>
      <c r="F36" s="60"/>
      <c r="G36" s="60"/>
      <c r="H36" s="60"/>
      <c r="I36" s="60"/>
      <c r="J36" s="60"/>
      <c r="K36" s="60"/>
      <c r="L36" s="60">
        <v>31564</v>
      </c>
      <c r="M36" s="60">
        <v>16198</v>
      </c>
      <c r="N36" s="60">
        <v>3499</v>
      </c>
      <c r="O36" s="60"/>
      <c r="P36" s="60"/>
      <c r="Q36" s="60"/>
      <c r="R36" s="61">
        <v>15000</v>
      </c>
      <c r="S36" s="61"/>
      <c r="T36" s="61"/>
      <c r="U36" s="60">
        <f t="shared" si="3"/>
        <v>250261</v>
      </c>
      <c r="V36" s="62">
        <v>261500</v>
      </c>
      <c r="W36" s="62">
        <v>250566</v>
      </c>
      <c r="X36" s="62">
        <f t="shared" si="4"/>
        <v>-11239</v>
      </c>
      <c r="Y36" s="63">
        <f t="shared" si="5"/>
        <v>-4.2978967495219886E-2</v>
      </c>
      <c r="Z36" s="17"/>
    </row>
    <row r="37" spans="1:26" x14ac:dyDescent="0.3">
      <c r="A37" s="78">
        <v>6820</v>
      </c>
      <c r="C37" s="1" t="s">
        <v>54</v>
      </c>
      <c r="D37" s="60">
        <v>62500</v>
      </c>
      <c r="E37" s="60"/>
      <c r="F37" s="60"/>
      <c r="G37" s="60"/>
      <c r="H37" s="60"/>
      <c r="I37" s="60"/>
      <c r="J37" s="60"/>
      <c r="K37" s="60"/>
      <c r="L37" s="60">
        <v>6030</v>
      </c>
      <c r="M37" s="60">
        <v>1608</v>
      </c>
      <c r="N37" s="60"/>
      <c r="O37" s="60"/>
      <c r="P37" s="60"/>
      <c r="Q37" s="60"/>
      <c r="R37" s="61">
        <v>2500</v>
      </c>
      <c r="S37" s="61"/>
      <c r="T37" s="61"/>
      <c r="U37" s="60">
        <f t="shared" si="3"/>
        <v>72638</v>
      </c>
      <c r="V37" s="62">
        <v>79500</v>
      </c>
      <c r="W37" s="62">
        <v>77900</v>
      </c>
      <c r="X37" s="62">
        <f t="shared" si="4"/>
        <v>-6862</v>
      </c>
      <c r="Y37" s="63">
        <f t="shared" si="5"/>
        <v>-8.6314465408805038E-2</v>
      </c>
      <c r="Z37" s="17"/>
    </row>
    <row r="38" spans="1:26" x14ac:dyDescent="0.3">
      <c r="A38" s="78">
        <v>6830</v>
      </c>
      <c r="C38" s="1" t="s">
        <v>55</v>
      </c>
      <c r="D38" s="60">
        <v>21000</v>
      </c>
      <c r="E38" s="60"/>
      <c r="F38" s="60"/>
      <c r="G38" s="60"/>
      <c r="H38" s="60"/>
      <c r="I38" s="60"/>
      <c r="J38" s="60"/>
      <c r="K38" s="60"/>
      <c r="L38" s="60">
        <v>4020</v>
      </c>
      <c r="M38" s="60">
        <v>1675</v>
      </c>
      <c r="N38" s="60">
        <f>1090+7333</f>
        <v>8423</v>
      </c>
      <c r="O38" s="60"/>
      <c r="P38" s="60"/>
      <c r="Q38" s="60"/>
      <c r="R38" s="61">
        <v>11000</v>
      </c>
      <c r="S38" s="61"/>
      <c r="T38" s="61"/>
      <c r="U38" s="60">
        <f t="shared" si="3"/>
        <v>46118</v>
      </c>
      <c r="V38" s="62">
        <v>43050</v>
      </c>
      <c r="W38" s="62">
        <v>37600</v>
      </c>
      <c r="X38" s="62">
        <f t="shared" si="4"/>
        <v>3068</v>
      </c>
      <c r="Y38" s="63">
        <f t="shared" si="5"/>
        <v>7.1265969802555174E-2</v>
      </c>
      <c r="Z38" s="17"/>
    </row>
    <row r="39" spans="1:26" x14ac:dyDescent="0.3">
      <c r="A39" s="78">
        <v>6840</v>
      </c>
      <c r="C39" s="1" t="s">
        <v>56</v>
      </c>
      <c r="D39" s="60">
        <v>37530</v>
      </c>
      <c r="E39" s="60"/>
      <c r="F39" s="60"/>
      <c r="G39" s="60"/>
      <c r="H39" s="60"/>
      <c r="I39" s="60"/>
      <c r="J39" s="60"/>
      <c r="K39" s="60"/>
      <c r="L39" s="60">
        <v>13266</v>
      </c>
      <c r="M39" s="60">
        <v>6700</v>
      </c>
      <c r="N39" s="60">
        <v>2300</v>
      </c>
      <c r="O39" s="60"/>
      <c r="P39" s="60"/>
      <c r="Q39" s="60"/>
      <c r="R39" s="61">
        <v>3500</v>
      </c>
      <c r="S39" s="61"/>
      <c r="T39" s="61"/>
      <c r="U39" s="60">
        <f t="shared" si="3"/>
        <v>63296</v>
      </c>
      <c r="V39" s="62">
        <v>63630</v>
      </c>
      <c r="W39" s="62">
        <v>46241</v>
      </c>
      <c r="X39" s="62">
        <f t="shared" si="4"/>
        <v>-334</v>
      </c>
      <c r="Y39" s="63">
        <f t="shared" si="5"/>
        <v>-5.2490963382052494E-3</v>
      </c>
      <c r="Z39" s="17">
        <v>52000</v>
      </c>
    </row>
    <row r="40" spans="1:26" x14ac:dyDescent="0.3">
      <c r="A40" s="78">
        <v>6850</v>
      </c>
      <c r="C40" s="1" t="s">
        <v>57</v>
      </c>
      <c r="D40" s="60">
        <v>148867</v>
      </c>
      <c r="E40" s="60"/>
      <c r="F40" s="60"/>
      <c r="G40" s="60"/>
      <c r="H40" s="60"/>
      <c r="I40" s="60"/>
      <c r="J40" s="60"/>
      <c r="K40" s="60"/>
      <c r="L40" s="60">
        <v>7035</v>
      </c>
      <c r="M40" s="60">
        <v>1608</v>
      </c>
      <c r="N40" s="60">
        <v>2550</v>
      </c>
      <c r="O40" s="60"/>
      <c r="P40" s="60"/>
      <c r="Q40" s="60"/>
      <c r="R40" s="61">
        <v>3500</v>
      </c>
      <c r="S40" s="61"/>
      <c r="T40" s="61"/>
      <c r="U40" s="60">
        <f t="shared" si="3"/>
        <v>163560</v>
      </c>
      <c r="V40" s="62">
        <v>167167</v>
      </c>
      <c r="W40" s="62">
        <v>114700</v>
      </c>
      <c r="X40" s="62">
        <f t="shared" si="4"/>
        <v>-3607</v>
      </c>
      <c r="Y40" s="63">
        <f t="shared" si="5"/>
        <v>-2.157722517003954E-2</v>
      </c>
      <c r="Z40" s="17"/>
    </row>
    <row r="41" spans="1:26" x14ac:dyDescent="0.3">
      <c r="A41" s="78">
        <v>6910</v>
      </c>
      <c r="C41" s="1" t="s">
        <v>58</v>
      </c>
      <c r="D41" s="60">
        <v>18500</v>
      </c>
      <c r="E41" s="60"/>
      <c r="F41" s="60"/>
      <c r="G41" s="60"/>
      <c r="H41" s="60"/>
      <c r="I41" s="60"/>
      <c r="J41" s="60"/>
      <c r="K41" s="60"/>
      <c r="L41" s="60">
        <v>4690</v>
      </c>
      <c r="M41" s="60">
        <v>1608</v>
      </c>
      <c r="N41" s="60"/>
      <c r="O41" s="60"/>
      <c r="P41" s="60"/>
      <c r="Q41" s="60"/>
      <c r="R41" s="61">
        <v>3000</v>
      </c>
      <c r="S41" s="61"/>
      <c r="T41" s="61">
        <f>[1]Fundraising!$G$17</f>
        <v>500</v>
      </c>
      <c r="U41" s="60">
        <f t="shared" si="3"/>
        <v>28298</v>
      </c>
      <c r="V41" s="62">
        <v>27950</v>
      </c>
      <c r="W41" s="62">
        <v>41000</v>
      </c>
      <c r="X41" s="62">
        <f t="shared" si="4"/>
        <v>348</v>
      </c>
      <c r="Y41" s="63">
        <f t="shared" si="5"/>
        <v>1.2450805008944544E-2</v>
      </c>
      <c r="Z41" s="17"/>
    </row>
    <row r="42" spans="1:26" x14ac:dyDescent="0.3">
      <c r="A42" s="78">
        <v>6920</v>
      </c>
      <c r="C42" s="1" t="s">
        <v>59</v>
      </c>
      <c r="D42" s="60">
        <v>29500</v>
      </c>
      <c r="E42" s="60"/>
      <c r="F42" s="60"/>
      <c r="G42" s="60"/>
      <c r="H42" s="60"/>
      <c r="I42" s="60"/>
      <c r="J42" s="60"/>
      <c r="K42" s="60"/>
      <c r="L42" s="60">
        <v>6030</v>
      </c>
      <c r="M42" s="60"/>
      <c r="N42" s="60">
        <v>5000</v>
      </c>
      <c r="O42" s="60"/>
      <c r="P42" s="60"/>
      <c r="Q42" s="60"/>
      <c r="R42" s="61">
        <v>2200</v>
      </c>
      <c r="S42" s="61"/>
      <c r="T42" s="61"/>
      <c r="U42" s="60">
        <f t="shared" si="3"/>
        <v>42730</v>
      </c>
      <c r="V42" s="62">
        <v>40700</v>
      </c>
      <c r="W42" s="62">
        <v>21206</v>
      </c>
      <c r="X42" s="62">
        <f t="shared" si="4"/>
        <v>2030</v>
      </c>
      <c r="Y42" s="63">
        <f t="shared" si="5"/>
        <v>4.9877149877149876E-2</v>
      </c>
      <c r="Z42" s="17"/>
    </row>
    <row r="43" spans="1:26" x14ac:dyDescent="0.3">
      <c r="A43" s="78">
        <v>6930</v>
      </c>
      <c r="C43" s="1" t="s">
        <v>60</v>
      </c>
      <c r="D43" s="60">
        <v>8500</v>
      </c>
      <c r="E43" s="60"/>
      <c r="F43" s="60"/>
      <c r="G43" s="60"/>
      <c r="H43" s="60"/>
      <c r="I43" s="60"/>
      <c r="J43" s="60"/>
      <c r="K43" s="60"/>
      <c r="L43" s="60">
        <v>3350</v>
      </c>
      <c r="M43" s="60">
        <v>1340</v>
      </c>
      <c r="N43" s="60">
        <v>200</v>
      </c>
      <c r="O43" s="60"/>
      <c r="P43" s="60"/>
      <c r="Q43" s="60"/>
      <c r="R43" s="61">
        <v>1800</v>
      </c>
      <c r="S43" s="61"/>
      <c r="T43" s="61"/>
      <c r="U43" s="60">
        <f t="shared" si="3"/>
        <v>15190</v>
      </c>
      <c r="V43" s="62">
        <v>17380</v>
      </c>
      <c r="W43" s="62">
        <v>23800</v>
      </c>
      <c r="X43" s="62">
        <f t="shared" si="4"/>
        <v>-2190</v>
      </c>
      <c r="Y43" s="63">
        <f t="shared" si="5"/>
        <v>-0.12600690448791715</v>
      </c>
      <c r="Z43" s="17"/>
    </row>
    <row r="44" spans="1:26" x14ac:dyDescent="0.3">
      <c r="A44" s="78">
        <v>6940</v>
      </c>
      <c r="C44" s="1" t="s">
        <v>61</v>
      </c>
      <c r="D44" s="60">
        <v>25016</v>
      </c>
      <c r="E44" s="60"/>
      <c r="F44" s="60"/>
      <c r="G44" s="60"/>
      <c r="H44" s="60"/>
      <c r="I44" s="60"/>
      <c r="J44" s="60"/>
      <c r="K44" s="60"/>
      <c r="L44" s="60">
        <v>5159</v>
      </c>
      <c r="M44" s="60">
        <v>2613</v>
      </c>
      <c r="N44" s="60">
        <v>150</v>
      </c>
      <c r="O44" s="60"/>
      <c r="P44" s="60"/>
      <c r="Q44" s="60"/>
      <c r="R44" s="61">
        <v>5000</v>
      </c>
      <c r="S44" s="61"/>
      <c r="T44" s="61"/>
      <c r="U44" s="60">
        <f t="shared" si="3"/>
        <v>37938</v>
      </c>
      <c r="V44" s="62">
        <v>41786</v>
      </c>
      <c r="W44" s="62">
        <v>3100</v>
      </c>
      <c r="X44" s="62">
        <f t="shared" si="4"/>
        <v>-3848</v>
      </c>
      <c r="Y44" s="63">
        <f t="shared" si="5"/>
        <v>-9.2088259225577951E-2</v>
      </c>
      <c r="Z44" s="17">
        <v>30000</v>
      </c>
    </row>
    <row r="45" spans="1:26" x14ac:dyDescent="0.3">
      <c r="A45" s="78">
        <v>7010</v>
      </c>
      <c r="C45" s="1" t="s">
        <v>62</v>
      </c>
      <c r="D45" s="60">
        <v>5000</v>
      </c>
      <c r="E45" s="60"/>
      <c r="F45" s="60"/>
      <c r="G45" s="60"/>
      <c r="H45" s="60"/>
      <c r="I45" s="60"/>
      <c r="J45" s="60"/>
      <c r="K45" s="60"/>
      <c r="L45" s="60">
        <v>1977</v>
      </c>
      <c r="M45" s="60">
        <v>134</v>
      </c>
      <c r="N45" s="60">
        <v>450</v>
      </c>
      <c r="O45" s="60"/>
      <c r="P45" s="60"/>
      <c r="Q45" s="60"/>
      <c r="R45" s="61">
        <v>450</v>
      </c>
      <c r="S45" s="61"/>
      <c r="T45" s="61">
        <f>[1]Fundraising!$G$19</f>
        <v>500</v>
      </c>
      <c r="U45" s="60">
        <f t="shared" si="3"/>
        <v>8511</v>
      </c>
      <c r="V45" s="62">
        <v>8485</v>
      </c>
      <c r="W45" s="62">
        <v>12060</v>
      </c>
      <c r="X45" s="62">
        <f t="shared" si="4"/>
        <v>26</v>
      </c>
      <c r="Y45" s="63">
        <f t="shared" si="5"/>
        <v>3.0642309958750736E-3</v>
      </c>
      <c r="Z45" s="17"/>
    </row>
    <row r="46" spans="1:26" x14ac:dyDescent="0.3">
      <c r="A46" s="78">
        <v>7020</v>
      </c>
      <c r="C46" s="1" t="s">
        <v>63</v>
      </c>
      <c r="D46" s="60">
        <v>5000</v>
      </c>
      <c r="E46" s="60"/>
      <c r="F46" s="60"/>
      <c r="G46" s="60"/>
      <c r="H46" s="60"/>
      <c r="I46" s="60"/>
      <c r="J46" s="60"/>
      <c r="K46" s="60"/>
      <c r="L46" s="60">
        <v>5065</v>
      </c>
      <c r="M46" s="60">
        <v>134</v>
      </c>
      <c r="N46" s="60">
        <v>5000</v>
      </c>
      <c r="O46" s="60"/>
      <c r="P46" s="60"/>
      <c r="Q46" s="60"/>
      <c r="R46" s="61">
        <v>3200</v>
      </c>
      <c r="S46" s="61"/>
      <c r="T46" s="61"/>
      <c r="U46" s="60">
        <f t="shared" si="3"/>
        <v>18399</v>
      </c>
      <c r="V46" s="62">
        <v>19220</v>
      </c>
      <c r="W46" s="62">
        <v>5453</v>
      </c>
      <c r="X46" s="62">
        <f t="shared" si="4"/>
        <v>-821</v>
      </c>
      <c r="Y46" s="63">
        <f t="shared" si="5"/>
        <v>-4.2715920915712802E-2</v>
      </c>
      <c r="Z46" s="17"/>
    </row>
    <row r="47" spans="1:26" x14ac:dyDescent="0.3">
      <c r="A47" s="78">
        <v>7100</v>
      </c>
      <c r="C47" s="1" t="s">
        <v>64</v>
      </c>
      <c r="D47" s="60">
        <v>750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1"/>
      <c r="S47" s="61"/>
      <c r="T47" s="61"/>
      <c r="U47" s="60">
        <f t="shared" si="3"/>
        <v>750</v>
      </c>
      <c r="V47" s="62">
        <v>750</v>
      </c>
      <c r="W47" s="62">
        <v>1700</v>
      </c>
      <c r="X47" s="62">
        <f t="shared" si="4"/>
        <v>0</v>
      </c>
      <c r="Y47" s="63">
        <f t="shared" si="5"/>
        <v>0</v>
      </c>
      <c r="Z47" s="17"/>
    </row>
    <row r="48" spans="1:26" x14ac:dyDescent="0.3">
      <c r="A48" s="78">
        <v>7110</v>
      </c>
      <c r="C48" s="1" t="s">
        <v>65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  <c r="S48" s="61"/>
      <c r="T48" s="61"/>
      <c r="U48" s="60">
        <f t="shared" si="3"/>
        <v>0</v>
      </c>
      <c r="V48" s="62">
        <v>0</v>
      </c>
      <c r="W48" s="62">
        <v>13652</v>
      </c>
      <c r="X48" s="62">
        <f t="shared" si="4"/>
        <v>0</v>
      </c>
      <c r="Y48" s="63">
        <v>0</v>
      </c>
      <c r="Z48" s="17"/>
    </row>
    <row r="49" spans="1:26" x14ac:dyDescent="0.3">
      <c r="A49" s="78">
        <v>7210</v>
      </c>
      <c r="C49" s="1" t="s">
        <v>66</v>
      </c>
      <c r="D49" s="60"/>
      <c r="E49" s="60"/>
      <c r="F49" s="60"/>
      <c r="G49" s="60"/>
      <c r="H49" s="60"/>
      <c r="I49" s="60">
        <v>9000</v>
      </c>
      <c r="J49" s="60">
        <v>3400</v>
      </c>
      <c r="K49" s="60">
        <v>9747</v>
      </c>
      <c r="L49" s="60">
        <v>84956</v>
      </c>
      <c r="M49" s="60">
        <v>918222</v>
      </c>
      <c r="N49" s="60">
        <f>202055+94684</f>
        <v>296739</v>
      </c>
      <c r="O49" s="60">
        <v>15000</v>
      </c>
      <c r="P49" s="60">
        <v>7500</v>
      </c>
      <c r="Q49" s="60">
        <f>52000-8400</f>
        <v>43600</v>
      </c>
      <c r="R49" s="61"/>
      <c r="S49" s="61"/>
      <c r="T49" s="61"/>
      <c r="U49" s="60">
        <f t="shared" si="3"/>
        <v>1388164</v>
      </c>
      <c r="V49" s="62">
        <v>1865227</v>
      </c>
      <c r="W49" s="62">
        <v>2492223</v>
      </c>
      <c r="X49" s="62">
        <f t="shared" si="4"/>
        <v>-477063</v>
      </c>
      <c r="Y49" s="63">
        <f>X49/V49</f>
        <v>-0.25576672437188608</v>
      </c>
      <c r="Z49" s="17"/>
    </row>
    <row r="50" spans="1:26" x14ac:dyDescent="0.3">
      <c r="A50" s="78">
        <v>7320</v>
      </c>
      <c r="C50" s="1" t="s">
        <v>67</v>
      </c>
      <c r="D50" s="60">
        <v>20500</v>
      </c>
      <c r="E50" s="60">
        <v>14001</v>
      </c>
      <c r="F50" s="60">
        <v>3430</v>
      </c>
      <c r="G50" s="60"/>
      <c r="H50" s="60"/>
      <c r="I50" s="60"/>
      <c r="J50" s="60"/>
      <c r="K50" s="60"/>
      <c r="L50" s="60">
        <v>4144</v>
      </c>
      <c r="M50" s="60">
        <v>2010</v>
      </c>
      <c r="N50" s="60"/>
      <c r="O50" s="60"/>
      <c r="P50" s="60"/>
      <c r="Q50" s="60"/>
      <c r="R50" s="61">
        <v>2000</v>
      </c>
      <c r="S50" s="61"/>
      <c r="T50" s="61">
        <f>[1]Fundraising!G21</f>
        <v>1000</v>
      </c>
      <c r="U50" s="60">
        <f t="shared" si="3"/>
        <v>47085</v>
      </c>
      <c r="V50" s="62">
        <v>45800</v>
      </c>
      <c r="W50" s="62">
        <v>45242</v>
      </c>
      <c r="X50" s="62">
        <f t="shared" si="4"/>
        <v>1285</v>
      </c>
      <c r="Y50" s="63">
        <f>X50/V50</f>
        <v>2.8056768558951964E-2</v>
      </c>
      <c r="Z50" s="17"/>
    </row>
    <row r="51" spans="1:26" x14ac:dyDescent="0.3">
      <c r="A51" s="78">
        <v>7310</v>
      </c>
      <c r="C51" s="1" t="s">
        <v>68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1"/>
      <c r="S51" s="61"/>
      <c r="T51" s="61"/>
      <c r="U51" s="60">
        <f t="shared" si="3"/>
        <v>0</v>
      </c>
      <c r="V51" s="62">
        <v>0</v>
      </c>
      <c r="W51" s="62">
        <v>10000</v>
      </c>
      <c r="X51" s="62">
        <f t="shared" si="4"/>
        <v>0</v>
      </c>
      <c r="Y51" s="63">
        <v>0</v>
      </c>
      <c r="Z51" s="17"/>
    </row>
    <row r="52" spans="1:26" x14ac:dyDescent="0.3">
      <c r="A52" s="78">
        <v>7410</v>
      </c>
      <c r="C52" s="1" t="s">
        <v>69</v>
      </c>
      <c r="D52" s="60">
        <v>3500</v>
      </c>
      <c r="E52" s="60"/>
      <c r="F52" s="60"/>
      <c r="G52" s="60"/>
      <c r="H52" s="60"/>
      <c r="I52" s="60"/>
      <c r="J52" s="60"/>
      <c r="K52" s="60"/>
      <c r="L52" s="60">
        <v>3102</v>
      </c>
      <c r="M52" s="60">
        <v>1005</v>
      </c>
      <c r="N52" s="60"/>
      <c r="O52" s="60"/>
      <c r="P52" s="60"/>
      <c r="Q52" s="60"/>
      <c r="R52" s="61">
        <v>3000</v>
      </c>
      <c r="S52" s="61"/>
      <c r="T52" s="61"/>
      <c r="U52" s="60">
        <f t="shared" si="3"/>
        <v>10607</v>
      </c>
      <c r="V52" s="62">
        <v>8000</v>
      </c>
      <c r="W52" s="62"/>
      <c r="X52" s="62">
        <f t="shared" si="4"/>
        <v>2607</v>
      </c>
      <c r="Y52" s="63">
        <f t="shared" ref="Y52:Y62" si="6">X52/V52</f>
        <v>0.32587500000000003</v>
      </c>
      <c r="Z52" s="17"/>
    </row>
    <row r="53" spans="1:26" x14ac:dyDescent="0.3">
      <c r="A53" s="78">
        <v>7420</v>
      </c>
      <c r="C53" s="1" t="s">
        <v>70</v>
      </c>
      <c r="D53" s="60">
        <v>24600</v>
      </c>
      <c r="E53" s="60"/>
      <c r="F53" s="60"/>
      <c r="G53" s="60"/>
      <c r="H53" s="60">
        <v>11087</v>
      </c>
      <c r="I53" s="60"/>
      <c r="J53" s="60"/>
      <c r="K53" s="60"/>
      <c r="L53" s="60">
        <v>4590</v>
      </c>
      <c r="M53" s="60"/>
      <c r="N53" s="60">
        <f>2000+8892</f>
        <v>10892</v>
      </c>
      <c r="O53" s="60"/>
      <c r="P53" s="60"/>
      <c r="Q53" s="60"/>
      <c r="R53" s="61">
        <v>7500</v>
      </c>
      <c r="S53" s="61"/>
      <c r="T53" s="61">
        <v>5200</v>
      </c>
      <c r="U53" s="60">
        <f t="shared" si="3"/>
        <v>63869</v>
      </c>
      <c r="V53" s="62">
        <v>66605</v>
      </c>
      <c r="W53" s="62">
        <v>51520</v>
      </c>
      <c r="X53" s="62">
        <f t="shared" si="4"/>
        <v>-2736</v>
      </c>
      <c r="Y53" s="63">
        <f t="shared" si="6"/>
        <v>-4.1077997147361309E-2</v>
      </c>
      <c r="Z53" s="17">
        <v>70000</v>
      </c>
    </row>
    <row r="54" spans="1:26" x14ac:dyDescent="0.3">
      <c r="A54" s="78">
        <v>7430</v>
      </c>
      <c r="C54" s="1" t="s">
        <v>71</v>
      </c>
      <c r="D54" s="60">
        <v>2500</v>
      </c>
      <c r="E54" s="60"/>
      <c r="F54" s="60"/>
      <c r="G54" s="60"/>
      <c r="H54" s="60">
        <v>2250</v>
      </c>
      <c r="I54" s="60"/>
      <c r="J54" s="60"/>
      <c r="K54" s="60"/>
      <c r="L54" s="60"/>
      <c r="M54" s="60"/>
      <c r="N54" s="60"/>
      <c r="O54" s="60"/>
      <c r="P54" s="60"/>
      <c r="Q54" s="60"/>
      <c r="R54" s="61"/>
      <c r="S54" s="61">
        <v>1500</v>
      </c>
      <c r="T54" s="61"/>
      <c r="U54" s="60">
        <f t="shared" si="3"/>
        <v>6250</v>
      </c>
      <c r="V54" s="62">
        <v>5889</v>
      </c>
      <c r="W54" s="62">
        <v>7500</v>
      </c>
      <c r="X54" s="62">
        <f t="shared" si="4"/>
        <v>361</v>
      </c>
      <c r="Y54" s="63">
        <f t="shared" si="6"/>
        <v>6.1300730174902361E-2</v>
      </c>
      <c r="Z54" s="17">
        <v>2554</v>
      </c>
    </row>
    <row r="55" spans="1:26" x14ac:dyDescent="0.3">
      <c r="A55" s="78">
        <v>7440</v>
      </c>
      <c r="C55" s="1" t="s">
        <v>72</v>
      </c>
      <c r="D55" s="60">
        <v>2200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1">
        <v>3500</v>
      </c>
      <c r="S55" s="61">
        <v>1500</v>
      </c>
      <c r="T55" s="61"/>
      <c r="U55" s="60">
        <f t="shared" si="3"/>
        <v>7200</v>
      </c>
      <c r="V55" s="62">
        <v>6200</v>
      </c>
      <c r="W55" s="62">
        <v>7500</v>
      </c>
      <c r="X55" s="62">
        <f t="shared" si="4"/>
        <v>1000</v>
      </c>
      <c r="Y55" s="63">
        <f t="shared" si="6"/>
        <v>0.16129032258064516</v>
      </c>
      <c r="Z55" s="17"/>
    </row>
    <row r="56" spans="1:26" x14ac:dyDescent="0.3">
      <c r="A56" s="78">
        <v>7450</v>
      </c>
      <c r="C56" s="1" t="s">
        <v>73</v>
      </c>
      <c r="D56" s="60">
        <v>5668</v>
      </c>
      <c r="E56" s="60"/>
      <c r="F56" s="60"/>
      <c r="G56" s="60"/>
      <c r="H56" s="60"/>
      <c r="I56" s="60"/>
      <c r="J56" s="60"/>
      <c r="K56" s="60"/>
      <c r="L56" s="60">
        <v>1005</v>
      </c>
      <c r="M56" s="60">
        <v>201</v>
      </c>
      <c r="N56" s="60">
        <v>300</v>
      </c>
      <c r="O56" s="60"/>
      <c r="P56" s="60"/>
      <c r="Q56" s="60"/>
      <c r="R56" s="61">
        <v>500</v>
      </c>
      <c r="S56" s="61"/>
      <c r="T56" s="61">
        <f>[1]Fundraising!$G$23</f>
        <v>1000</v>
      </c>
      <c r="U56" s="60">
        <f t="shared" si="3"/>
        <v>8674</v>
      </c>
      <c r="V56" s="62">
        <v>10326</v>
      </c>
      <c r="W56" s="62">
        <v>6249</v>
      </c>
      <c r="X56" s="62">
        <f t="shared" si="4"/>
        <v>-1652</v>
      </c>
      <c r="Y56" s="63">
        <f t="shared" si="6"/>
        <v>-0.15998450513267481</v>
      </c>
      <c r="Z56" s="17"/>
    </row>
    <row r="57" spans="1:26" x14ac:dyDescent="0.3">
      <c r="A57" s="78">
        <v>7460</v>
      </c>
      <c r="C57" s="1" t="s">
        <v>74</v>
      </c>
      <c r="D57" s="60">
        <v>1134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1"/>
      <c r="S57" s="61"/>
      <c r="T57" s="61"/>
      <c r="U57" s="60">
        <f t="shared" si="3"/>
        <v>1134</v>
      </c>
      <c r="V57" s="62">
        <f>SUM(D57:T57)</f>
        <v>1134</v>
      </c>
      <c r="W57" s="62">
        <v>1134</v>
      </c>
      <c r="X57" s="62">
        <f t="shared" si="4"/>
        <v>0</v>
      </c>
      <c r="Y57" s="63">
        <f t="shared" si="6"/>
        <v>0</v>
      </c>
      <c r="Z57" s="17"/>
    </row>
    <row r="58" spans="1:26" x14ac:dyDescent="0.3">
      <c r="A58" s="78">
        <v>7510</v>
      </c>
      <c r="C58" s="1" t="s">
        <v>75</v>
      </c>
      <c r="D58" s="60"/>
      <c r="E58" s="60"/>
      <c r="F58" s="60">
        <v>146293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/>
      <c r="S58" s="61"/>
      <c r="T58" s="61"/>
      <c r="U58" s="60">
        <f t="shared" si="3"/>
        <v>146293</v>
      </c>
      <c r="V58" s="62">
        <v>144397</v>
      </c>
      <c r="W58" s="62">
        <v>225873</v>
      </c>
      <c r="X58" s="62">
        <f t="shared" si="4"/>
        <v>1896</v>
      </c>
      <c r="Y58" s="63">
        <f t="shared" si="6"/>
        <v>1.3130466699446664E-2</v>
      </c>
      <c r="Z58" s="17"/>
    </row>
    <row r="59" spans="1:26" x14ac:dyDescent="0.3">
      <c r="A59" s="78">
        <v>7610</v>
      </c>
      <c r="C59" s="1" t="s">
        <v>76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1">
        <v>2000</v>
      </c>
      <c r="S59" s="61">
        <v>5000</v>
      </c>
      <c r="T59" s="61"/>
      <c r="U59" s="60">
        <f t="shared" si="3"/>
        <v>7000</v>
      </c>
      <c r="V59" s="62">
        <f>SUM(D59:T59)</f>
        <v>7000</v>
      </c>
      <c r="W59" s="62">
        <v>1300</v>
      </c>
      <c r="X59" s="62">
        <f t="shared" si="4"/>
        <v>0</v>
      </c>
      <c r="Y59" s="63">
        <f t="shared" si="6"/>
        <v>0</v>
      </c>
      <c r="Z59" s="17"/>
    </row>
    <row r="60" spans="1:26" x14ac:dyDescent="0.3">
      <c r="A60" s="78">
        <v>7630</v>
      </c>
      <c r="C60" s="1" t="s">
        <v>77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1">
        <v>1500</v>
      </c>
      <c r="S60" s="61">
        <v>2000</v>
      </c>
      <c r="T60" s="61">
        <f>[1]Fundraising!G25</f>
        <v>300</v>
      </c>
      <c r="U60" s="60">
        <f t="shared" si="3"/>
        <v>3800</v>
      </c>
      <c r="V60" s="62">
        <f>SUM(D60:T60)</f>
        <v>3800</v>
      </c>
      <c r="W60" s="62">
        <v>3000</v>
      </c>
      <c r="X60" s="62">
        <f t="shared" si="4"/>
        <v>0</v>
      </c>
      <c r="Y60" s="63">
        <f t="shared" si="6"/>
        <v>0</v>
      </c>
      <c r="Z60" s="17">
        <v>3000</v>
      </c>
    </row>
    <row r="61" spans="1:26" x14ac:dyDescent="0.3">
      <c r="A61" s="78">
        <v>7810</v>
      </c>
      <c r="C61" s="1" t="s">
        <v>78</v>
      </c>
      <c r="D61" s="60">
        <f>300355+18260</f>
        <v>318615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1"/>
      <c r="S61" s="61"/>
      <c r="T61" s="61"/>
      <c r="U61" s="60">
        <f t="shared" si="3"/>
        <v>318615</v>
      </c>
      <c r="V61" s="62">
        <v>358855</v>
      </c>
      <c r="W61" s="62">
        <v>263280</v>
      </c>
      <c r="X61" s="62">
        <f t="shared" si="4"/>
        <v>-40240</v>
      </c>
      <c r="Y61" s="63">
        <f t="shared" si="6"/>
        <v>-0.11213442755430467</v>
      </c>
      <c r="Z61" s="17"/>
    </row>
    <row r="62" spans="1:26" x14ac:dyDescent="0.3">
      <c r="A62" s="78">
        <v>7820</v>
      </c>
      <c r="C62" s="1" t="s">
        <v>79</v>
      </c>
      <c r="D62" s="60">
        <v>110000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1"/>
      <c r="S62" s="61"/>
      <c r="T62" s="61"/>
      <c r="U62" s="60">
        <f t="shared" si="3"/>
        <v>110000</v>
      </c>
      <c r="V62" s="62">
        <v>120000</v>
      </c>
      <c r="W62" s="62">
        <v>57876</v>
      </c>
      <c r="X62" s="62">
        <f t="shared" si="4"/>
        <v>-10000</v>
      </c>
      <c r="Y62" s="63">
        <f t="shared" si="6"/>
        <v>-8.3333333333333329E-2</v>
      </c>
      <c r="Z62" s="17"/>
    </row>
    <row r="63" spans="1:26" x14ac:dyDescent="0.3">
      <c r="A63" s="78">
        <v>7830</v>
      </c>
      <c r="C63" s="1" t="s">
        <v>80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1"/>
      <c r="S63" s="61"/>
      <c r="T63" s="61"/>
      <c r="U63" s="60">
        <f t="shared" si="3"/>
        <v>0</v>
      </c>
      <c r="V63" s="62">
        <f>SUM(D63:T63)</f>
        <v>0</v>
      </c>
      <c r="W63" s="62">
        <v>0</v>
      </c>
      <c r="X63" s="62">
        <f t="shared" si="4"/>
        <v>0</v>
      </c>
      <c r="Y63" s="63">
        <v>0</v>
      </c>
      <c r="Z63" s="17"/>
    </row>
    <row r="64" spans="1:26" x14ac:dyDescent="0.3">
      <c r="A64" s="78">
        <v>7840</v>
      </c>
      <c r="C64" s="1" t="s">
        <v>81</v>
      </c>
      <c r="D64" s="60">
        <v>10000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1"/>
      <c r="S64" s="61"/>
      <c r="T64" s="61"/>
      <c r="U64" s="60">
        <f t="shared" si="3"/>
        <v>10000</v>
      </c>
      <c r="V64" s="62">
        <f>SUM(D64:T64)</f>
        <v>10000</v>
      </c>
      <c r="W64" s="62">
        <v>10000</v>
      </c>
      <c r="X64" s="62">
        <f t="shared" si="4"/>
        <v>0</v>
      </c>
      <c r="Y64" s="63">
        <f>X64/V64</f>
        <v>0</v>
      </c>
      <c r="Z64" s="17"/>
    </row>
    <row r="65" spans="1:26" x14ac:dyDescent="0.3">
      <c r="A65" s="78">
        <v>7850</v>
      </c>
      <c r="B65" s="80"/>
      <c r="C65" s="80" t="s">
        <v>82</v>
      </c>
      <c r="D65" s="60">
        <v>10000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1"/>
      <c r="S65" s="61"/>
      <c r="T65" s="61"/>
      <c r="U65" s="60">
        <f t="shared" si="3"/>
        <v>10000</v>
      </c>
      <c r="V65" s="62">
        <f>SUM(D65:T65)</f>
        <v>10000</v>
      </c>
      <c r="W65" s="62">
        <v>10000</v>
      </c>
      <c r="X65" s="62">
        <f t="shared" si="4"/>
        <v>0</v>
      </c>
      <c r="Y65" s="63">
        <f>X65/V65</f>
        <v>0</v>
      </c>
      <c r="Z65" s="17"/>
    </row>
    <row r="66" spans="1:26" ht="15" hidden="1" customHeight="1" x14ac:dyDescent="0.3">
      <c r="A66" s="59"/>
      <c r="D66" s="60"/>
      <c r="E66" s="60"/>
      <c r="F66" s="81"/>
      <c r="G66" s="81"/>
      <c r="H66" s="60"/>
      <c r="I66" s="60"/>
      <c r="J66" s="60"/>
      <c r="K66" s="60"/>
      <c r="L66" s="60"/>
      <c r="M66" s="60"/>
      <c r="N66" s="81"/>
      <c r="O66" s="60"/>
      <c r="P66" s="60"/>
      <c r="Q66" s="60"/>
      <c r="R66" s="61"/>
      <c r="S66" s="61"/>
      <c r="T66" s="61"/>
      <c r="U66" s="60">
        <f t="shared" si="3"/>
        <v>0</v>
      </c>
      <c r="V66" s="62">
        <f>SUM(D66:T66)</f>
        <v>0</v>
      </c>
      <c r="W66" s="62"/>
      <c r="X66" s="62">
        <f t="shared" si="4"/>
        <v>0</v>
      </c>
      <c r="Y66" s="63" t="e">
        <f>X66/V66</f>
        <v>#DIV/0!</v>
      </c>
      <c r="Z66" s="17"/>
    </row>
    <row r="67" spans="1:26" s="83" customFormat="1" ht="16.5" x14ac:dyDescent="0.35">
      <c r="A67" s="82"/>
      <c r="C67" s="83" t="s">
        <v>83</v>
      </c>
      <c r="D67" s="67">
        <f>SUM(D21:D66)</f>
        <v>3821075</v>
      </c>
      <c r="E67" s="67">
        <f>SUM(E21:E66)</f>
        <v>255999.61941119999</v>
      </c>
      <c r="F67" s="67">
        <f t="shared" ref="F67:K67" si="7">SUM(F21:F65)</f>
        <v>344700.61920000002</v>
      </c>
      <c r="G67" s="67">
        <f t="shared" si="7"/>
        <v>70000</v>
      </c>
      <c r="H67" s="67">
        <f t="shared" si="7"/>
        <v>68500</v>
      </c>
      <c r="I67" s="67">
        <f t="shared" si="7"/>
        <v>9000</v>
      </c>
      <c r="J67" s="67">
        <f t="shared" si="7"/>
        <v>4600</v>
      </c>
      <c r="K67" s="67">
        <f t="shared" si="7"/>
        <v>9747</v>
      </c>
      <c r="L67" s="67">
        <f t="shared" ref="L67:T67" si="8">SUM(L21:L66)</f>
        <v>691716</v>
      </c>
      <c r="M67" s="67">
        <f t="shared" si="8"/>
        <v>1180048</v>
      </c>
      <c r="N67" s="67">
        <f t="shared" si="8"/>
        <v>479082.45</v>
      </c>
      <c r="O67" s="67">
        <f t="shared" si="8"/>
        <v>15000</v>
      </c>
      <c r="P67" s="67">
        <f t="shared" si="8"/>
        <v>7500</v>
      </c>
      <c r="Q67" s="67">
        <f t="shared" si="8"/>
        <v>52000</v>
      </c>
      <c r="R67" s="68">
        <f t="shared" si="8"/>
        <v>625634</v>
      </c>
      <c r="S67" s="68">
        <f t="shared" si="8"/>
        <v>15250</v>
      </c>
      <c r="T67" s="68">
        <f t="shared" si="8"/>
        <v>10000</v>
      </c>
      <c r="U67" s="67">
        <f t="shared" si="3"/>
        <v>7659852.6886112001</v>
      </c>
      <c r="V67" s="69">
        <f>SUM(V21:V66)</f>
        <v>8120431</v>
      </c>
      <c r="W67" s="84">
        <f>SUM(W21:W66)</f>
        <v>8068871</v>
      </c>
      <c r="X67" s="62">
        <f t="shared" si="4"/>
        <v>-460578.31138879992</v>
      </c>
      <c r="Y67" s="63">
        <f>X67/V67</f>
        <v>-5.6718456371195068E-2</v>
      </c>
      <c r="Z67" s="85"/>
    </row>
    <row r="68" spans="1:26" x14ac:dyDescent="0.3">
      <c r="A68" s="71"/>
      <c r="B68" s="72"/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 t="s">
        <v>84</v>
      </c>
      <c r="S68" s="73"/>
      <c r="T68" s="73"/>
      <c r="U68" s="73">
        <f t="shared" si="3"/>
        <v>0</v>
      </c>
      <c r="V68" s="73"/>
      <c r="W68" s="73"/>
      <c r="X68" s="73">
        <f t="shared" si="4"/>
        <v>0</v>
      </c>
      <c r="Y68" s="74"/>
      <c r="Z68" s="17"/>
    </row>
    <row r="69" spans="1:26" s="66" customFormat="1" ht="17.25" thickBot="1" x14ac:dyDescent="0.4">
      <c r="A69" s="86"/>
      <c r="B69" s="38"/>
      <c r="C69" s="38" t="s">
        <v>85</v>
      </c>
      <c r="D69" s="87">
        <f t="shared" ref="D69:T69" si="9">D19-D67</f>
        <v>0</v>
      </c>
      <c r="E69" s="87">
        <f t="shared" si="9"/>
        <v>0.38058880000608042</v>
      </c>
      <c r="F69" s="87">
        <f t="shared" si="9"/>
        <v>0.38079999998444691</v>
      </c>
      <c r="G69" s="87">
        <f t="shared" si="9"/>
        <v>0</v>
      </c>
      <c r="H69" s="87">
        <f t="shared" si="9"/>
        <v>0</v>
      </c>
      <c r="I69" s="87">
        <f t="shared" si="9"/>
        <v>0</v>
      </c>
      <c r="J69" s="87">
        <f t="shared" si="9"/>
        <v>0</v>
      </c>
      <c r="K69" s="87">
        <f t="shared" si="9"/>
        <v>0</v>
      </c>
      <c r="L69" s="87">
        <f t="shared" si="9"/>
        <v>0</v>
      </c>
      <c r="M69" s="87">
        <f t="shared" si="9"/>
        <v>0</v>
      </c>
      <c r="N69" s="87">
        <f t="shared" si="9"/>
        <v>-0.45000000001164153</v>
      </c>
      <c r="O69" s="87">
        <f t="shared" si="9"/>
        <v>0</v>
      </c>
      <c r="P69" s="87">
        <f t="shared" si="9"/>
        <v>0</v>
      </c>
      <c r="Q69" s="87">
        <f t="shared" si="9"/>
        <v>0</v>
      </c>
      <c r="R69" s="88">
        <f t="shared" si="9"/>
        <v>2233.9366111999843</v>
      </c>
      <c r="S69" s="88">
        <f t="shared" si="9"/>
        <v>0</v>
      </c>
      <c r="T69" s="88">
        <f t="shared" si="9"/>
        <v>10000</v>
      </c>
      <c r="U69" s="87">
        <f t="shared" si="3"/>
        <v>12234.247999999963</v>
      </c>
      <c r="V69" s="89">
        <f>+V19-V67</f>
        <v>5802</v>
      </c>
      <c r="W69" s="89">
        <f>+W19-W67</f>
        <v>194320</v>
      </c>
      <c r="X69" s="90">
        <f t="shared" si="4"/>
        <v>6432.2479999999632</v>
      </c>
      <c r="Y69" s="91">
        <f>X69/V69</f>
        <v>1.1086259910375669</v>
      </c>
      <c r="Z69" s="70"/>
    </row>
    <row r="70" spans="1:26" ht="16.5" x14ac:dyDescent="0.35">
      <c r="A70" s="51"/>
      <c r="B70" s="51"/>
      <c r="C70" s="92" t="s">
        <v>86</v>
      </c>
      <c r="D70" s="51"/>
      <c r="E70" s="51"/>
      <c r="F70" s="93"/>
      <c r="G70" s="93"/>
      <c r="H70" s="94"/>
      <c r="I70" s="94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94"/>
      <c r="Y70" s="95"/>
    </row>
    <row r="75" spans="1:26" x14ac:dyDescent="0.3">
      <c r="D75" s="62"/>
    </row>
  </sheetData>
  <mergeCells count="25">
    <mergeCell ref="W5:W6"/>
    <mergeCell ref="X5:X6"/>
    <mergeCell ref="Y5:Y6"/>
    <mergeCell ref="Q5:Q6"/>
    <mergeCell ref="R5:R6"/>
    <mergeCell ref="S5:S6"/>
    <mergeCell ref="T5:T6"/>
    <mergeCell ref="U5:U6"/>
    <mergeCell ref="V5:V6"/>
    <mergeCell ref="J5:J6"/>
    <mergeCell ref="L5:L6"/>
    <mergeCell ref="M5:M6"/>
    <mergeCell ref="N5:N6"/>
    <mergeCell ref="O5:O6"/>
    <mergeCell ref="P5:P6"/>
    <mergeCell ref="A3:T3"/>
    <mergeCell ref="A4:T4"/>
    <mergeCell ref="A5:A6"/>
    <mergeCell ref="C5:C6"/>
    <mergeCell ref="D5:D6"/>
    <mergeCell ref="E5:E6"/>
    <mergeCell ref="F5:F6"/>
    <mergeCell ref="G5:G6"/>
    <mergeCell ref="H5:H6"/>
    <mergeCell ref="I5:I6"/>
  </mergeCells>
  <pageMargins left="0.25" right="0.25" top="0" bottom="0" header="0.5" footer="0.5"/>
  <pageSetup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Agency</vt:lpstr>
      <vt:lpstr>Agency!Print_Area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Sgouros</dc:creator>
  <cp:lastModifiedBy>Stephanie Sgouros</cp:lastModifiedBy>
  <dcterms:created xsi:type="dcterms:W3CDTF">2017-09-15T15:37:21Z</dcterms:created>
  <dcterms:modified xsi:type="dcterms:W3CDTF">2017-09-15T15:46:26Z</dcterms:modified>
</cp:coreProperties>
</file>